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2" activeTab="1"/>
  </bookViews>
  <sheets>
    <sheet name="01. PRZEDMIAR ROBÓT" sheetId="1" r:id="rId1"/>
    <sheet name="02. KOSZTORYS OFERTOWY" sheetId="2" r:id="rId2"/>
  </sheets>
  <definedNames>
    <definedName name="_xlnm.Print_Area" localSheetId="0">'01. PRZEDMIAR ROBÓT'!$A$1:$F$208</definedName>
    <definedName name="_xlnm.Print_Area" localSheetId="1">'02. KOSZTORYS OFERTOWY'!$A$1:$H$136</definedName>
    <definedName name="ddd" localSheetId="0">#REF!</definedName>
    <definedName name="ddd" localSheetId="1">#REF!</definedName>
    <definedName name="ddd">#REF!</definedName>
    <definedName name="przygotowanie_i_obsługa_próbnego_obciążenia_obiektu_mostowego">#REF!</definedName>
    <definedName name="s" localSheetId="0">#REF!</definedName>
    <definedName name="s" localSheetId="1">#REF!</definedName>
    <definedName name="s">#REF!</definedName>
    <definedName name="Suma" localSheetId="1">#REF!</definedName>
    <definedName name="Suma">#REF!</definedName>
    <definedName name="Z_461D2983_31CC_4FD4_9FBB_744D88F61881_.wvu.Cols" localSheetId="0">#REF!</definedName>
    <definedName name="Z_461D2983_31CC_4FD4_9FBB_744D88F61881_.wvu.Cols" localSheetId="1">#REF!</definedName>
    <definedName name="Z_461D2983_31CC_4FD4_9FBB_744D88F61881_.wvu.Cols">#REF!</definedName>
    <definedName name="Z_AC7D101D_CC88_4E2D_BF4C_CE11AFE56F9F_.wvu.Cols" localSheetId="0">'01. PRZEDMIAR ROBÓT'!#REF!</definedName>
    <definedName name="Z_AC7D101D_CC88_4E2D_BF4C_CE11AFE56F9F_.wvu.Cols" localSheetId="1">'02. KOSZTORYS OFERTOWY'!#REF!</definedName>
    <definedName name="Z_AC7D101D_CC88_4E2D_BF4C_CE11AFE56F9F_.wvu.Cols">#REF!</definedName>
    <definedName name="Z_F0A5D92D_FB94_4E81_89AF_1BA1357A0816_.wvu.Cols" localSheetId="0">#REF!</definedName>
    <definedName name="Z_F0A5D92D_FB94_4E81_89AF_1BA1357A0816_.wvu.Cols" localSheetId="1">#REF!</definedName>
    <definedName name="Z_F0A5D92D_FB94_4E81_89AF_1BA1357A0816_.wvu.Cols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48" authorId="0">
      <text>
        <r>
          <rPr>
            <b/>
            <sz val="9"/>
            <color indexed="8"/>
            <rFont val="Tahoma"/>
            <family val="2"/>
          </rPr>
          <t xml:space="preserve">NR:
</t>
        </r>
        <r>
          <rPr>
            <sz val="9"/>
            <color indexed="8"/>
            <rFont val="Tahoma"/>
            <family val="2"/>
          </rPr>
          <t>powierzchnia styku z nadbudową, wspornikiem pod płytę przejściową i ca. 35% powierzchni podpory pod ubytki</t>
        </r>
      </text>
    </comment>
    <comment ref="E49" authorId="0">
      <text>
        <r>
          <rPr>
            <b/>
            <sz val="9"/>
            <color indexed="8"/>
            <rFont val="Tahoma"/>
            <family val="2"/>
          </rPr>
          <t xml:space="preserve">NR:
</t>
        </r>
        <r>
          <rPr>
            <sz val="9"/>
            <color indexed="8"/>
            <rFont val="Tahoma"/>
            <family val="2"/>
          </rPr>
          <t>powierzchnia styku z nadbudową, wspornikiem pod płytę przejściową i ca. 30% powierzchni podpory pod ubytki</t>
        </r>
      </text>
    </comment>
    <comment ref="E65" authorId="0">
      <text>
        <r>
          <rPr>
            <b/>
            <sz val="9"/>
            <color indexed="8"/>
            <rFont val="Tahoma"/>
            <family val="2"/>
          </rPr>
          <t xml:space="preserve">NR:
</t>
        </r>
        <r>
          <rPr>
            <sz val="9"/>
            <color indexed="8"/>
            <rFont val="Tahoma"/>
            <family val="2"/>
          </rPr>
          <t>przyjęto 4cm</t>
        </r>
      </text>
    </comment>
    <comment ref="E66" authorId="0">
      <text>
        <r>
          <rPr>
            <b/>
            <sz val="9"/>
            <color indexed="8"/>
            <rFont val="Tahoma"/>
            <family val="2"/>
          </rPr>
          <t xml:space="preserve">NR:
</t>
        </r>
        <r>
          <rPr>
            <sz val="9"/>
            <color indexed="8"/>
            <rFont val="Tahoma"/>
            <family val="2"/>
          </rPr>
          <t>przyjęto 4cm</t>
        </r>
      </text>
    </comment>
    <comment ref="E72" authorId="0">
      <text>
        <r>
          <rPr>
            <b/>
            <sz val="9"/>
            <color indexed="8"/>
            <rFont val="Tahoma"/>
            <family val="2"/>
          </rPr>
          <t xml:space="preserve">NR:
</t>
        </r>
        <r>
          <rPr>
            <sz val="9"/>
            <color indexed="8"/>
            <rFont val="Tahoma"/>
            <family val="2"/>
          </rPr>
          <t>przyjęto średnio na całej powierzchni wielkość rys 2mm, przyjęto ca. 70% powierzchni</t>
        </r>
      </text>
    </comment>
    <comment ref="E73" authorId="0">
      <text>
        <r>
          <rPr>
            <b/>
            <sz val="9"/>
            <color indexed="8"/>
            <rFont val="Tahoma"/>
            <family val="2"/>
          </rPr>
          <t xml:space="preserve">NR:
</t>
        </r>
        <r>
          <rPr>
            <sz val="9"/>
            <color indexed="8"/>
            <rFont val="Tahoma"/>
            <family val="2"/>
          </rPr>
          <t>przyjęto średnio na całej powierzchni wielkość rys 2mm, przyjęto ca. 70% powierzchni</t>
        </r>
      </text>
    </comment>
    <comment ref="E85" authorId="0">
      <text>
        <r>
          <rPr>
            <b/>
            <sz val="9"/>
            <color indexed="8"/>
            <rFont val="Tahoma"/>
            <family val="2"/>
          </rPr>
          <t xml:space="preserve">NR:
</t>
        </r>
        <r>
          <rPr>
            <sz val="9"/>
            <color indexed="8"/>
            <rFont val="Tahoma"/>
            <family val="2"/>
          </rPr>
          <t>powierzchnia styku z nadbudową i ca. 40% powierzchni przęsła pod ubytki</t>
        </r>
      </text>
    </comment>
    <comment ref="E94" authorId="0">
      <text>
        <r>
          <rPr>
            <b/>
            <sz val="9"/>
            <color indexed="8"/>
            <rFont val="Tahoma"/>
            <family val="2"/>
          </rPr>
          <t xml:space="preserve">NR:
</t>
        </r>
        <r>
          <rPr>
            <sz val="9"/>
            <color indexed="8"/>
            <rFont val="Tahoma"/>
            <family val="2"/>
          </rPr>
          <t>przyjęto 4cm</t>
        </r>
      </text>
    </comment>
    <comment ref="E100" authorId="0">
      <text>
        <r>
          <rPr>
            <b/>
            <sz val="9"/>
            <color indexed="8"/>
            <rFont val="Tahoma"/>
            <family val="2"/>
          </rPr>
          <t xml:space="preserve">NR:
</t>
        </r>
        <r>
          <rPr>
            <sz val="9"/>
            <color indexed="8"/>
            <rFont val="Tahoma"/>
            <family val="2"/>
          </rPr>
          <t>przyjęto średnio na całej powierzchni wielkość rys 2mm, przyjeto 80% powierzchni</t>
        </r>
      </text>
    </comment>
  </commentList>
</comments>
</file>

<file path=xl/sharedStrings.xml><?xml version="1.0" encoding="utf-8"?>
<sst xmlns="http://schemas.openxmlformats.org/spreadsheetml/2006/main" count="654" uniqueCount="296">
  <si>
    <t>Poz.</t>
  </si>
  <si>
    <t>Podstawa</t>
  </si>
  <si>
    <t>Wyszczegółowienie elementów rozliczeniowych</t>
  </si>
  <si>
    <t>Jednostka</t>
  </si>
  <si>
    <t>Poszczególne</t>
  </si>
  <si>
    <t>Razem</t>
  </si>
  <si>
    <t>M.20.00.00.00</t>
  </si>
  <si>
    <t xml:space="preserve">P R A C E   P R Z Y G O T O W A W C Z E </t>
  </si>
  <si>
    <t>M.20.01.00.00</t>
  </si>
  <si>
    <t>PRACE POMIAROWE</t>
  </si>
  <si>
    <t>M.20.01.01.00</t>
  </si>
  <si>
    <t>WYTYCZENIE GEODEZYJNE OBIEKTU INŻYNIERSKIEGO</t>
  </si>
  <si>
    <t>M.20.01.01.31</t>
  </si>
  <si>
    <t>Wytyczenie mostu jednoprzęsłowego:</t>
  </si>
  <si>
    <t>rycz.</t>
  </si>
  <si>
    <t>M.20.55.00.00</t>
  </si>
  <si>
    <t>PRACE ROZBIÓRKOWE</t>
  </si>
  <si>
    <t>M.20.55.01.00</t>
  </si>
  <si>
    <t>ROZBIÓRKA ISTNIEJĄCEGO OBIEKTU WRAZ Z ELEMENTAMI WYPOSAŻENIA</t>
  </si>
  <si>
    <t>M.20.55.01.11</t>
  </si>
  <si>
    <t>Wykonanie rozbiórki istniejącego obiektu z betonu:</t>
  </si>
  <si>
    <t>m³</t>
  </si>
  <si>
    <t>- skucie kap chodnikowych na przęśle:</t>
  </si>
  <si>
    <t>- skucie kap chodnikowych na skrzydłach:</t>
  </si>
  <si>
    <t>- skucie płyty górnej ustroju nośnego:</t>
  </si>
  <si>
    <t>M.20.55.01.22</t>
  </si>
  <si>
    <t>Wykonanie rozbiórki balustrad na obiekcie:</t>
  </si>
  <si>
    <t>m</t>
  </si>
  <si>
    <t>- balustrada obiekcie</t>
  </si>
  <si>
    <t>M.21.00.00.00</t>
  </si>
  <si>
    <t>F U N D A M E N T Y</t>
  </si>
  <si>
    <t>M.21.20.00.00</t>
  </si>
  <si>
    <t>ŁAWY FUNDAMENTOWE</t>
  </si>
  <si>
    <t>M.21.20.01.00</t>
  </si>
  <si>
    <t>M.21.20.01.20</t>
  </si>
  <si>
    <t>Wykonanie gurtów z betonu klasy C30/37 (B35):</t>
  </si>
  <si>
    <t>M.21.20.01.98</t>
  </si>
  <si>
    <t>Przygotowanie i montaż zbrojenia ław oraz gurtów ze stali fyk=500MPa i klasie ciągliwości C</t>
  </si>
  <si>
    <t>kg</t>
  </si>
  <si>
    <t>- gurty betonowe:</t>
  </si>
  <si>
    <t>M.21.53.00.00</t>
  </si>
  <si>
    <t>ROBOTY ZIEMNE PRZY FUNDAMENTACH</t>
  </si>
  <si>
    <t>M.21.53.02.00</t>
  </si>
  <si>
    <t>WYKOPY OTWARTE BEZ ZABEZPIECZEŃ</t>
  </si>
  <si>
    <t>M.21.53.02.11</t>
  </si>
  <si>
    <t>Wykonanie wykopu bez zabezpieczeń - na lądzie:</t>
  </si>
  <si>
    <t>- wykop w ciągu obiektu:</t>
  </si>
  <si>
    <t>- wykop poza obiektem:</t>
  </si>
  <si>
    <t>M.21.53.05.00</t>
  </si>
  <si>
    <t>ŚCIANKA SZCZELNA Z GRODZIC STALOWYCH</t>
  </si>
  <si>
    <t>M.21.53.05.21</t>
  </si>
  <si>
    <t>Wykonanie  ścianki szczelnej z grodzic stalowych wraz z rozparciem - do wyciągnięcia:</t>
  </si>
  <si>
    <t>m²</t>
  </si>
  <si>
    <t>zabezpieczenie wykopu dla konstrukcji obiektu</t>
  </si>
  <si>
    <t>M.21.53.05.81</t>
  </si>
  <si>
    <t>Usunięcie ścianki szczelnej wraz z rozparciem - na lądzie:</t>
  </si>
  <si>
    <t>M.22.00.00.00</t>
  </si>
  <si>
    <t xml:space="preserve">K O R P U S Y   P O D P Ó R   I   K O N S T R U K C J E   O P O R O W E </t>
  </si>
  <si>
    <t>M.22.01.00.00</t>
  </si>
  <si>
    <t>PRZYCZÓŁKI</t>
  </si>
  <si>
    <t>M.22.01.01.00</t>
  </si>
  <si>
    <t>PRZYCZÓŁKI ŻELBETOWE</t>
  </si>
  <si>
    <t>M.22.01.01.13</t>
  </si>
  <si>
    <t>Wykonanie korpusów przyczółków - masywne, z betonu klasy C30/37 (B35)</t>
  </si>
  <si>
    <t>- nadbudowa przyczółka wschodniego:</t>
  </si>
  <si>
    <t>- nadbudowa przyczółka zachodniego:</t>
  </si>
  <si>
    <t>- wspornik pod płyty przejściowe:</t>
  </si>
  <si>
    <t>M.22.01.01.15</t>
  </si>
  <si>
    <t>Wywiercenie otworów i osadzenie kotew stalowych o średnicy do 16 mm włącznie i o długości do 200 mm - nad lądem:</t>
  </si>
  <si>
    <t>szt.</t>
  </si>
  <si>
    <t>- przyczółek wschodni (nadbudowa):</t>
  </si>
  <si>
    <t>- przyczółek zachodni (nadbudowa):</t>
  </si>
  <si>
    <t>M.22.01.01.22</t>
  </si>
  <si>
    <t>Wywiercenie otworów i osadzenie kotew stalowych o średnicy powyżej 20 mm włącznie i o długości od 201 do 500 mm - nad lądem:</t>
  </si>
  <si>
    <t>- przyczółek wschodni (wspornik pod płytę przejściową):</t>
  </si>
  <si>
    <t>- przyczółek wschodni (mocowanie kapy chodnikowej):</t>
  </si>
  <si>
    <t>- przyczółek zachodni (wspornik pod płytę przejściową):</t>
  </si>
  <si>
    <t>- przyczółek zachodni (mocowanie kapy chodnikowej):</t>
  </si>
  <si>
    <t>M.22.01.01.24</t>
  </si>
  <si>
    <t>Wykonanie warstwy szczepnej - nad lądem:</t>
  </si>
  <si>
    <t>- przyczółek wschodni:</t>
  </si>
  <si>
    <t>- przyczółek zachodni:</t>
  </si>
  <si>
    <t>M.22.01.01.60</t>
  </si>
  <si>
    <t>Wykonanie i montaż stałych punktów wysokościowych:</t>
  </si>
  <si>
    <t>M.22.01.01.61</t>
  </si>
  <si>
    <t>Wykonanie i montaż znaków wysokościowych:</t>
  </si>
  <si>
    <t>M.22.01.01.98</t>
  </si>
  <si>
    <t>Przygotowanie i montaż zbrojenia korpusów przyczółków ze stali fyk=500MPa i klasy ciągliwości C:</t>
  </si>
  <si>
    <t>M.22.51.00.00</t>
  </si>
  <si>
    <t>PODPORY I KONSTRUKCJE OPOROWE Z BETONU</t>
  </si>
  <si>
    <t>M.22.51.20.00</t>
  </si>
  <si>
    <t>NAPRAWY POWIERZCHNIOWE BETONOWYCH PODPÓR I ŚCIAN OPOROWYCH</t>
  </si>
  <si>
    <t>ZAPRAWAMI TYPU PCC NAKŁADANYMI RĘCZNIE</t>
  </si>
  <si>
    <t>M.22.51.20.11</t>
  </si>
  <si>
    <t>Wykonanie naprawy pionowych powierzchni podpór i ścian oporowych zaprawami typu PCC nakłdanymi ręcznie na głębokość do 1cm - na lądzie</t>
  </si>
  <si>
    <t>M.22.51.20.12</t>
  </si>
  <si>
    <t>Wykonanie naprawy pionowych powierzchni podpór i ścian oporowych zaprawami typu PCC nakłdanymi ręcznie na głębokość powyżej 1cm - na lądzie</t>
  </si>
  <si>
    <t>M.22.51.40.00</t>
  </si>
  <si>
    <t>LIKWIDACJA RYS LUB PĘKNIĘĆ PODPÓR I ŚCIAN OPOROWYCH BETONOWYCH</t>
  </si>
  <si>
    <t>METODĄ INIEKCJI NISKOCIŚNIENIOWEJ DO 0,8MPa</t>
  </si>
  <si>
    <t>M.22.51.40.01</t>
  </si>
  <si>
    <t>Wytworzenie iniektu:</t>
  </si>
  <si>
    <t>dm³</t>
  </si>
  <si>
    <t>- zabezpieczenie wykopu dla konstrukcji obiektu:</t>
  </si>
  <si>
    <t>M.22.51.40.11</t>
  </si>
  <si>
    <t>Iniekcja niskociśnieniowa rys lub pęknięć podpory lub ściany oporowej betonowej do 0,8 MPa - nad lądem</t>
  </si>
  <si>
    <t>M.23.00.00.00</t>
  </si>
  <si>
    <t>U S T R O J E   N O Ś N E</t>
  </si>
  <si>
    <t>M.23.01.00.00</t>
  </si>
  <si>
    <t>USTROJE NOŚNE ŻELBETOWE "NA MOKRO' - ZBROJONE STALĄ ZWYKŁĄ</t>
  </si>
  <si>
    <t>M.23.01.01.00</t>
  </si>
  <si>
    <t>USTRÓJ NOŚNY ŻELBETOWY - PŁYTOWY "NA MOKRO"</t>
  </si>
  <si>
    <t>M.23.01.01.33</t>
  </si>
  <si>
    <t>Wykonanie ustroju płytowego z betonu klasy C30/37 (B35) o rozpiętości przęseł do 15 m - nad wodą:</t>
  </si>
  <si>
    <t>- nadbudowa przesła:</t>
  </si>
  <si>
    <t>M.23.01.01.56</t>
  </si>
  <si>
    <t>Wywiercenie otworów i osadzenie kotew stalowych o średnicy do 16 mm włącznie i o długości od 201 do 500 mm - nad lądem:</t>
  </si>
  <si>
    <t>- mocowanie kapy chodnikowej:</t>
  </si>
  <si>
    <t>M.23.01.01.61</t>
  </si>
  <si>
    <t>- przęsło:</t>
  </si>
  <si>
    <t>M.23.01.01.64</t>
  </si>
  <si>
    <t>Wykonanie warstwy szczepnej - nad wodą:</t>
  </si>
  <si>
    <t>M.23.01.01.98</t>
  </si>
  <si>
    <t>Wykonanie zbrojenia ustroju nośnego ze stali  klasy fyk=500 MPa i klasie ciągliwości C</t>
  </si>
  <si>
    <t>M.23.51.00.00</t>
  </si>
  <si>
    <t>PRZĘSŁA BETONOWE</t>
  </si>
  <si>
    <t>M.23.51.20.00</t>
  </si>
  <si>
    <t>NAPRAWY POWIERZCHNIOWE PRZĘSEŁ BETONOWYCH</t>
  </si>
  <si>
    <t>M.23.51.20.33</t>
  </si>
  <si>
    <t>Wykonanie naprawy pionowych powierzchni betonu przęseł zaprawami typu PCC nakładanymi ręcznie na głębokość do 1cm - nad wodą</t>
  </si>
  <si>
    <t>M.23.51.20.34</t>
  </si>
  <si>
    <t>Wykonanie naprawy pionowych powierzchni betonu przęseł zaprawami typu PCC nakładanymi ręcznie na głębokość powyżej 1cm - nad wodą</t>
  </si>
  <si>
    <t>M.23.51.40.00</t>
  </si>
  <si>
    <t xml:space="preserve">LIKWIDACJA RYS LUB PĘKNIĘĆ PRZĘSŁA BETONOWEGO </t>
  </si>
  <si>
    <t>M.23.51.40.01</t>
  </si>
  <si>
    <t>M.23.51.40.31</t>
  </si>
  <si>
    <t>Iniekcja niskociśnieniowa rys lub pęknięć przęsła betonowego do 0,8 MPa - nad wodą</t>
  </si>
  <si>
    <t>M.25.00.00.00</t>
  </si>
  <si>
    <t>U R Z Ą D Z E N I A   D Y L A T A C Y J N E</t>
  </si>
  <si>
    <t>M.25.01.00.00</t>
  </si>
  <si>
    <t>DYLATACJE SZCZELNE</t>
  </si>
  <si>
    <t>M.25.01.03.00</t>
  </si>
  <si>
    <t>BITUMICZNE PRZEKRYCIE DYLATACYJNE</t>
  </si>
  <si>
    <t>M.25.01.03.51</t>
  </si>
  <si>
    <t>Wykonanie bitumicznego przykrycia dylatacyjnego o dopuszczalnym przemieszczeniu krawędzi 10mm:</t>
  </si>
  <si>
    <t>M.27.00.00.00</t>
  </si>
  <si>
    <t>H Y D R O I Z O L A C J A</t>
  </si>
  <si>
    <t>M.27.01.00.00</t>
  </si>
  <si>
    <t>IZOLACJA POWŁOKOWA</t>
  </si>
  <si>
    <t>M.27.01.01.00</t>
  </si>
  <si>
    <t>POWŁOKOWA IZOLACJA BITUMICZNA - "NA ZIMNO"</t>
  </si>
  <si>
    <t>M.27.01.01.51</t>
  </si>
  <si>
    <t>Wykonanie powłokowej izolacji bitumicznej układanej "na zimno" - powierzchnie pionowe:</t>
  </si>
  <si>
    <r>
      <t>m</t>
    </r>
    <r>
      <rPr>
        <sz val="10"/>
        <rFont val="Calibri"/>
        <family val="2"/>
      </rPr>
      <t>²</t>
    </r>
  </si>
  <si>
    <t>M.27.01.01.52</t>
  </si>
  <si>
    <t>Wykonanie powłokowej izolacji bitumicznej układanej "na zimno" - powierzchnie poziome:</t>
  </si>
  <si>
    <t>- płyty przejściowe:</t>
  </si>
  <si>
    <t>M.27.02.00.00</t>
  </si>
  <si>
    <t>IZOLACJA ARKUSZOWA</t>
  </si>
  <si>
    <t>M.27.02.01.00</t>
  </si>
  <si>
    <t>IZOLACJA Z PAPY ZGRZEWALNEJ - UKŁADANA NA POWIERZCHNIACH BETONOWYCH</t>
  </si>
  <si>
    <t>M.27.02.01.01</t>
  </si>
  <si>
    <t>Koszt papy zgrzewalnej:</t>
  </si>
  <si>
    <t>M.27.02.01.51</t>
  </si>
  <si>
    <t>Wykonanie izolacji z papy zgrzewalnej na betonowych płaszczyznach poziomych - 1 x papa</t>
  </si>
  <si>
    <t>- płyta przejściowa:</t>
  </si>
  <si>
    <t>- kapy:</t>
  </si>
  <si>
    <t>M.27.02.01.52</t>
  </si>
  <si>
    <t>Wykonanie każdej następnej warstwy izolacji z papy zgrzewalnej na płaszczyznach poziomych:</t>
  </si>
  <si>
    <t>M.28.00.00.00</t>
  </si>
  <si>
    <t>W Y P O S A Ż E N I E   P O M O S T U</t>
  </si>
  <si>
    <t>M.28.01.00.00</t>
  </si>
  <si>
    <t>KRAWĘŻNIKI</t>
  </si>
  <si>
    <t>M.28.01.01.00</t>
  </si>
  <si>
    <t>KRAWĘŻNIKI KAMIENNE</t>
  </si>
  <si>
    <t>M.28.01.01.02</t>
  </si>
  <si>
    <t>Zakup krawężników kamiennych z kotwami:</t>
  </si>
  <si>
    <t>- na przęśle:</t>
  </si>
  <si>
    <t>- na skrzydłach:</t>
  </si>
  <si>
    <t>M.28.01.01.55</t>
  </si>
  <si>
    <t>Ustawienie krawężników kamiennych z kotwami na podlewce z mieszanek niskoskurczowych:</t>
  </si>
  <si>
    <t>M.28.02.00.00</t>
  </si>
  <si>
    <t>KAPY CHODNIKOWE</t>
  </si>
  <si>
    <t>M.28.02.01.00</t>
  </si>
  <si>
    <t>KAPA CHODNIKOWA "NA MOKRO" - PROSTA</t>
  </si>
  <si>
    <t>M.28.02.01.10</t>
  </si>
  <si>
    <t>Wykonanie podbudowy "prostej" kapy chodnikowej "na mokro" z betonu klasy C12/15 (B15):</t>
  </si>
  <si>
    <t>M.28.02.01.33</t>
  </si>
  <si>
    <t>Wykonanie "prostej" kapy chodnikowej "na mokro" z betonu klasy C35/45 (B45)  - nad wodą:</t>
  </si>
  <si>
    <t>M.28.02.01.55</t>
  </si>
  <si>
    <t>Przygotowanie i montaż kotew zamocowań balustrad, barier latarni itp..</t>
  </si>
  <si>
    <t>- mocowanie bariery:</t>
  </si>
  <si>
    <t>M.28.02.01.60</t>
  </si>
  <si>
    <t>Wykonanie dylatacji pozornych:</t>
  </si>
  <si>
    <t>M.28.02.01.98</t>
  </si>
  <si>
    <t>Przygotowanie i montaż zbrojenia kapy ze stali klasy fyk=500 MPa i klasie ciągliwości C:</t>
  </si>
  <si>
    <t>M.28.07.00.00</t>
  </si>
  <si>
    <t>BARIERY OCHRONNE SZTYWNE</t>
  </si>
  <si>
    <t>M.28.07.01.00</t>
  </si>
  <si>
    <t>BARIERY OCHRONNE STALOWE - "SZTYWNE"</t>
  </si>
  <si>
    <t>M.28.07.01.01</t>
  </si>
  <si>
    <t>Koszt stalowych barier ochronnych H2/W2/B:</t>
  </si>
  <si>
    <t>M.28.07.01.51</t>
  </si>
  <si>
    <t>Montaż stalowej bariery ochronnej:</t>
  </si>
  <si>
    <t>M.29.00.00.00</t>
  </si>
  <si>
    <t>R O B O T Y   P R Z Y O B I E K T O W E</t>
  </si>
  <si>
    <t>M.29.01.00.00</t>
  </si>
  <si>
    <t>ODWODNIENIE ZASYPKI PRZYCZÓŁKA</t>
  </si>
  <si>
    <t>M.29.01.01.00</t>
  </si>
  <si>
    <t>M. 29.01.01.12</t>
  </si>
  <si>
    <t>Wykonanie drenażu zasypki za ścianami bocznymi:</t>
  </si>
  <si>
    <t>- rura drenarska Ø110 z perforacją:</t>
  </si>
  <si>
    <t>- rura drenarska Ø110 bez perforacji:</t>
  </si>
  <si>
    <t>M.29.03.00.00</t>
  </si>
  <si>
    <t>ROBOTY ZIEMNE W REJONIE PRZYCZÓŁKÓW</t>
  </si>
  <si>
    <t>M.29.03.01.00</t>
  </si>
  <si>
    <t>ZASYPKA PRZYCZÓŁKA</t>
  </si>
  <si>
    <t>M.29.03.01.11</t>
  </si>
  <si>
    <t>Wykonanie zasypania wykopów wraz z zagęszczeniem gruntem niespoistym:</t>
  </si>
  <si>
    <t>M.29.03.05.00</t>
  </si>
  <si>
    <t>STOŻKI PRZYCZÓŁKÓW</t>
  </si>
  <si>
    <t>M.29.03.05.01</t>
  </si>
  <si>
    <t>Wykonanie nasypów stożka przyczółka gruntem niespoistym:</t>
  </si>
  <si>
    <t>M.29.05.00.00</t>
  </si>
  <si>
    <t>PŁYTY PRZEJŚCIOWE</t>
  </si>
  <si>
    <t>M.29.05.01.00</t>
  </si>
  <si>
    <t>M.29.05.01.12</t>
  </si>
  <si>
    <t>Wykonanie płyt przejściowych z betonu klasy C30/37 (B35):</t>
  </si>
  <si>
    <t>M.29.05.01.98</t>
  </si>
  <si>
    <t>Przygotowanie i montaż zbrojenia płyt przejściowych ze stali fyk=500MPa i klasy ciągliwości C:</t>
  </si>
  <si>
    <t>M.29.15.00.00</t>
  </si>
  <si>
    <t>UMOCNIENIE SKARP STOŻKÓW PRZYCZÓŁKOWYCH</t>
  </si>
  <si>
    <t>M.29.15.01.00</t>
  </si>
  <si>
    <t>M.29.15.01.20</t>
  </si>
  <si>
    <t>Wykonanie umocnienia stożków kamieniem polnym na zaprawie:</t>
  </si>
  <si>
    <t>M.29.15.01.28</t>
  </si>
  <si>
    <t>Wykonanie ławy oporowej dla umocnienia stożków przyczółkowych z betonu klasy C20/25 (B25):</t>
  </si>
  <si>
    <t>M.29.15.01.98</t>
  </si>
  <si>
    <t>Przygotowanie i montaż zbrojenia ławy oporowej ze stali klasy fyk=400 MPa i klasie ciągliwości B:</t>
  </si>
  <si>
    <t>M.29.20.00.00</t>
  </si>
  <si>
    <t>ŚCIEKI</t>
  </si>
  <si>
    <t>M.29.20.01.00</t>
  </si>
  <si>
    <t>ŚCIEKI SKARPOWE</t>
  </si>
  <si>
    <t>M.29.20.01.11</t>
  </si>
  <si>
    <t>Wykonanie ścieków skarpowych z betonowych elementów prefabrykowanych - korytkowych:</t>
  </si>
  <si>
    <t>M.29.30.00.00</t>
  </si>
  <si>
    <t>ROBOTY REGULACYJNE</t>
  </si>
  <si>
    <t>M.29.30.02.00</t>
  </si>
  <si>
    <t>UMOCNIENIE SKARP I ROWÓW</t>
  </si>
  <si>
    <t>M.29.30.02.11</t>
  </si>
  <si>
    <t>Wykonanie regulacji cieku:</t>
  </si>
  <si>
    <t>M.29.30.05.00</t>
  </si>
  <si>
    <t>UMOCNIENIE MATERACAMI GABIONOWYMI SKARP I DNA RZEK, KANAŁÓW I ROWÓW</t>
  </si>
  <si>
    <t xml:space="preserve">M. 29.30.05.32 </t>
  </si>
  <si>
    <t>Wykonanie materacy gabionowych o grub. 20-30 cm na wodzie:</t>
  </si>
  <si>
    <t>M.30.00.00.00</t>
  </si>
  <si>
    <t>R O B O T Y  N A W I E R Z C H N I O W E  I   Z A B E Z P I E C Z A J Ą C E</t>
  </si>
  <si>
    <t>M.30.01.00.00</t>
  </si>
  <si>
    <t>NAWIERZCHNIE JEZDNI OBIEKTÓW MOSTOWYCH</t>
  </si>
  <si>
    <t>M.30.01.01.00</t>
  </si>
  <si>
    <t xml:space="preserve">NAWIERZCHNIA JEZDNI MOSTOWEJ Z MIESZANKI </t>
  </si>
  <si>
    <t>M.30.01.01.55</t>
  </si>
  <si>
    <t>Wykonanie nawierzchni z mieszanki mineralno-bitumicznej asfaltowej - warstwa ścieralna grub. 4cm:</t>
  </si>
  <si>
    <t>M.30.01.01.61</t>
  </si>
  <si>
    <t>Wykonanie uszczelnienia przykrawędziowego "taśmą":</t>
  </si>
  <si>
    <t>M.30.01.06.00</t>
  </si>
  <si>
    <t>NAWIERZCHNIA JEZDNI MOSTOWEJ Z ASFALTU LANEGO</t>
  </si>
  <si>
    <t>M.30.01.06.51</t>
  </si>
  <si>
    <t>Wykonanie nawierzchni z asfaltu "twardolanego" - warstwa wiążąca grub. 4,5cm:</t>
  </si>
  <si>
    <t>M.30.01.06.61</t>
  </si>
  <si>
    <t>M.30.05.00.00</t>
  </si>
  <si>
    <t>NAWIERZCHNIE CHODNIKÓW MOSTOWYCH</t>
  </si>
  <si>
    <t>M.30.05.06.00</t>
  </si>
  <si>
    <t>NAWIERZCHNIA CHODNIKA POLIURETANOWO-EPOKSYDOWA</t>
  </si>
  <si>
    <t>M.30.05.06.51</t>
  </si>
  <si>
    <t>Wykonanie nawierzchni chodnika poliuretanowo-epoksydowej o grubości 5mm:</t>
  </si>
  <si>
    <t>M.30.05.06.69</t>
  </si>
  <si>
    <t>Ułożenie maty z włókna szklanego szer.100 mm pod nawierzchnią na styku między krawężnikiem i betonem chodnika:</t>
  </si>
  <si>
    <t>M.30.20.00.00</t>
  </si>
  <si>
    <t>ZABEZPIECZENIE ANTYKOROZYJNE BETONU</t>
  </si>
  <si>
    <t>M.30.20.05.00</t>
  </si>
  <si>
    <t>ZABEZPIECZENIE ANTYKOROZYJNE POWIERZCHNI BETONOWYCH</t>
  </si>
  <si>
    <t>- ZAMKNIĘCIE POWIERZCHNI O GRUBOŚCI WARSTWY 0.05&lt;D&lt;0.3 MM</t>
  </si>
  <si>
    <t>M.30.20.05.11</t>
  </si>
  <si>
    <t>Wykonanie zabezpieczenia pow. betonowej powłoką na bazie żywic akrylowych:</t>
  </si>
  <si>
    <t>- płyta pomostu:</t>
  </si>
  <si>
    <t>Pozycja przedmiar</t>
  </si>
  <si>
    <t>Cena</t>
  </si>
  <si>
    <t>Wartość pozycji</t>
  </si>
  <si>
    <t>zł</t>
  </si>
  <si>
    <t>Wykonanie gurtów z betonu klasy C30/37 (B35)</t>
  </si>
  <si>
    <t>Wykonanie naprawy pionowych powierzchni podpór i ścian oporowych zaprawami typu PCC nakłdanymi ręcznie na głębokość do 1cm-na lądzie</t>
  </si>
  <si>
    <t>Iniekcja niskociśnieniowa rys lub pęknięć podpory lub ściany oporowej betonowej do 0,8 MPa -nad lądem:</t>
  </si>
  <si>
    <t>Wykonanie nawierzchni z mieszanki  mineralno-bitumicznej asfaltowej - warstwa ścieralna grub. 4Cm:</t>
  </si>
  <si>
    <t>ŁĄCZNIE WARTOŚĆ NETTO:</t>
  </si>
  <si>
    <t>ŁĄCZNIE WARTOŚĆ BRUTTO: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</si>
</sst>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-* #,##0.00\ _€_-;\-* #,##0.00\ _€_-;_-* \-??\ _€_-;_-@_-"/>
    <numFmt numFmtId="166" formatCode="_-* #,##0.00&quot; zł&quot;_-;\-* #,##0.00&quot; zł&quot;_-;_-* \-??&quot; zł&quot;_-;_-@_-"/>
    <numFmt numFmtId="167" formatCode="0.0"/>
    <numFmt numFmtId="168" formatCode="D/MM/YYYY"/>
    <numFmt numFmtId="169" formatCode="0"/>
    <numFmt numFmtId="170" formatCode="#,##0.00&quot; zł&quot;;\-#,##0.00&quot; zł&quot;"/>
    <numFmt numFmtId="171" formatCode="#,##0.0"/>
    <numFmt numFmtId="172" formatCode="#,##0"/>
    <numFmt numFmtId="173" formatCode="#,##0.00"/>
    <numFmt numFmtId="174" formatCode="#,##0.00&quot; zł&quot;"/>
    <numFmt numFmtId="175" formatCode="0.00&quot; zł za kg&quot;"/>
    <numFmt numFmtId="176" formatCode="0.00&quot; zł za m²&quot;"/>
    <numFmt numFmtId="177" formatCode="0.00"/>
    <numFmt numFmtId="178" formatCode="&quot;PODATEK VAT &quot;0%\:"/>
  </numFmts>
  <fonts count="47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1"/>
      <name val="Arial CE"/>
      <family val="2"/>
    </font>
    <font>
      <b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name val="Calibri"/>
      <family val="2"/>
    </font>
    <font>
      <b/>
      <i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4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3" fillId="2" borderId="0" applyNumberFormat="0" applyBorder="0" applyAlignment="0" applyProtection="0"/>
    <xf numFmtId="164" fontId="3" fillId="2" borderId="0" applyNumberFormat="0" applyBorder="0" applyAlignment="0" applyProtection="0"/>
    <xf numFmtId="164" fontId="2" fillId="2" borderId="0" applyNumberFormat="0" applyBorder="0" applyAlignment="0" applyProtection="0"/>
    <xf numFmtId="164" fontId="3" fillId="2" borderId="0" applyNumberFormat="0" applyBorder="0" applyAlignment="0" applyProtection="0"/>
    <xf numFmtId="164" fontId="3" fillId="2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2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6" borderId="0" applyNumberFormat="0" applyBorder="0" applyAlignment="0" applyProtection="0"/>
    <xf numFmtId="164" fontId="3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7" borderId="0" applyNumberFormat="0" applyBorder="0" applyAlignment="0" applyProtection="0"/>
    <xf numFmtId="164" fontId="2" fillId="7" borderId="0" applyNumberFormat="0" applyBorder="0" applyAlignment="0" applyProtection="0"/>
    <xf numFmtId="164" fontId="3" fillId="7" borderId="0" applyNumberFormat="0" applyBorder="0" applyAlignment="0" applyProtection="0"/>
    <xf numFmtId="164" fontId="3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8" borderId="0" applyNumberFormat="0" applyBorder="0" applyAlignment="0" applyProtection="0"/>
    <xf numFmtId="164" fontId="3" fillId="8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9" borderId="0" applyNumberFormat="0" applyBorder="0" applyAlignment="0" applyProtection="0"/>
    <xf numFmtId="164" fontId="2" fillId="9" borderId="0" applyNumberFormat="0" applyBorder="0" applyAlignment="0" applyProtection="0"/>
    <xf numFmtId="164" fontId="3" fillId="9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2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10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2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8" borderId="0" applyNumberFormat="0" applyBorder="0" applyAlignment="0" applyProtection="0"/>
    <xf numFmtId="164" fontId="3" fillId="8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1" borderId="0" applyNumberFormat="0" applyBorder="0" applyAlignment="0" applyProtection="0"/>
    <xf numFmtId="164" fontId="3" fillId="11" borderId="0" applyNumberFormat="0" applyBorder="0" applyAlignment="0" applyProtection="0"/>
    <xf numFmtId="164" fontId="4" fillId="12" borderId="0" applyNumberFormat="0" applyBorder="0" applyAlignment="0" applyProtection="0"/>
    <xf numFmtId="164" fontId="4" fillId="9" borderId="0" applyNumberFormat="0" applyBorder="0" applyAlignment="0" applyProtection="0"/>
    <xf numFmtId="164" fontId="4" fillId="10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5" borderId="0" applyNumberFormat="0" applyBorder="0" applyAlignment="0" applyProtection="0"/>
    <xf numFmtId="164" fontId="4" fillId="12" borderId="0" applyNumberFormat="0" applyBorder="0" applyAlignment="0" applyProtection="0"/>
    <xf numFmtId="164" fontId="4" fillId="9" borderId="0" applyNumberFormat="0" applyBorder="0" applyAlignment="0" applyProtection="0"/>
    <xf numFmtId="164" fontId="4" fillId="10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5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4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12" borderId="0" applyNumberFormat="0" applyBorder="0" applyAlignment="0" applyProtection="0"/>
    <xf numFmtId="164" fontId="5" fillId="9" borderId="0" applyNumberFormat="0" applyBorder="0" applyAlignment="0" applyProtection="0"/>
    <xf numFmtId="164" fontId="5" fillId="9" borderId="0" applyNumberFormat="0" applyBorder="0" applyAlignment="0" applyProtection="0"/>
    <xf numFmtId="164" fontId="4" fillId="9" borderId="0" applyNumberFormat="0" applyBorder="0" applyAlignment="0" applyProtection="0"/>
    <xf numFmtId="164" fontId="5" fillId="9" borderId="0" applyNumberFormat="0" applyBorder="0" applyAlignment="0" applyProtection="0"/>
    <xf numFmtId="164" fontId="5" fillId="9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4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0" borderId="0" applyNumberFormat="0" applyBorder="0" applyAlignment="0" applyProtection="0"/>
    <xf numFmtId="164" fontId="5" fillId="13" borderId="0" applyNumberFormat="0" applyBorder="0" applyAlignment="0" applyProtection="0"/>
    <xf numFmtId="164" fontId="5" fillId="13" borderId="0" applyNumberFormat="0" applyBorder="0" applyAlignment="0" applyProtection="0"/>
    <xf numFmtId="164" fontId="4" fillId="13" borderId="0" applyNumberFormat="0" applyBorder="0" applyAlignment="0" applyProtection="0"/>
    <xf numFmtId="164" fontId="5" fillId="13" borderId="0" applyNumberFormat="0" applyBorder="0" applyAlignment="0" applyProtection="0"/>
    <xf numFmtId="164" fontId="5" fillId="13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4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4" fillId="15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4" fillId="16" borderId="0" applyNumberFormat="0" applyBorder="0" applyAlignment="0" applyProtection="0"/>
    <xf numFmtId="164" fontId="4" fillId="17" borderId="0" applyNumberFormat="0" applyBorder="0" applyAlignment="0" applyProtection="0"/>
    <xf numFmtId="164" fontId="4" fillId="18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9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4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6" borderId="0" applyNumberFormat="0" applyBorder="0" applyAlignment="0" applyProtection="0"/>
    <xf numFmtId="164" fontId="5" fillId="17" borderId="0" applyNumberFormat="0" applyBorder="0" applyAlignment="0" applyProtection="0"/>
    <xf numFmtId="164" fontId="5" fillId="17" borderId="0" applyNumberFormat="0" applyBorder="0" applyAlignment="0" applyProtection="0"/>
    <xf numFmtId="164" fontId="4" fillId="17" borderId="0" applyNumberFormat="0" applyBorder="0" applyAlignment="0" applyProtection="0"/>
    <xf numFmtId="164" fontId="5" fillId="17" borderId="0" applyNumberFormat="0" applyBorder="0" applyAlignment="0" applyProtection="0"/>
    <xf numFmtId="164" fontId="5" fillId="17" borderId="0" applyNumberFormat="0" applyBorder="0" applyAlignment="0" applyProtection="0"/>
    <xf numFmtId="164" fontId="5" fillId="18" borderId="0" applyNumberFormat="0" applyBorder="0" applyAlignment="0" applyProtection="0"/>
    <xf numFmtId="164" fontId="5" fillId="18" borderId="0" applyNumberFormat="0" applyBorder="0" applyAlignment="0" applyProtection="0"/>
    <xf numFmtId="164" fontId="4" fillId="18" borderId="0" applyNumberFormat="0" applyBorder="0" applyAlignment="0" applyProtection="0"/>
    <xf numFmtId="164" fontId="5" fillId="18" borderId="0" applyNumberFormat="0" applyBorder="0" applyAlignment="0" applyProtection="0"/>
    <xf numFmtId="164" fontId="5" fillId="18" borderId="0" applyNumberFormat="0" applyBorder="0" applyAlignment="0" applyProtection="0"/>
    <xf numFmtId="164" fontId="5" fillId="13" borderId="0" applyNumberFormat="0" applyBorder="0" applyAlignment="0" applyProtection="0"/>
    <xf numFmtId="164" fontId="5" fillId="13" borderId="0" applyNumberFormat="0" applyBorder="0" applyAlignment="0" applyProtection="0"/>
    <xf numFmtId="164" fontId="4" fillId="13" borderId="0" applyNumberFormat="0" applyBorder="0" applyAlignment="0" applyProtection="0"/>
    <xf numFmtId="164" fontId="5" fillId="13" borderId="0" applyNumberFormat="0" applyBorder="0" applyAlignment="0" applyProtection="0"/>
    <xf numFmtId="164" fontId="5" fillId="13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4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4" fillId="19" borderId="0" applyNumberFormat="0" applyBorder="0" applyAlignment="0" applyProtection="0"/>
    <xf numFmtId="164" fontId="5" fillId="19" borderId="0" applyNumberFormat="0" applyBorder="0" applyAlignment="0" applyProtection="0"/>
    <xf numFmtId="164" fontId="5" fillId="19" borderId="0" applyNumberFormat="0" applyBorder="0" applyAlignment="0" applyProtection="0"/>
    <xf numFmtId="164" fontId="4" fillId="16" borderId="0" applyNumberFormat="0" applyBorder="0" applyAlignment="0" applyProtection="0"/>
    <xf numFmtId="164" fontId="4" fillId="17" borderId="0" applyNumberFormat="0" applyBorder="0" applyAlignment="0" applyProtection="0"/>
    <xf numFmtId="164" fontId="4" fillId="18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9" borderId="0" applyNumberFormat="0" applyBorder="0" applyAlignment="0" applyProtection="0"/>
    <xf numFmtId="164" fontId="6" fillId="20" borderId="1" applyNumberFormat="0" applyAlignment="0" applyProtection="0"/>
    <xf numFmtId="164" fontId="7" fillId="3" borderId="0" applyNumberFormat="0" applyBorder="0" applyAlignment="0" applyProtection="0"/>
    <xf numFmtId="164" fontId="8" fillId="20" borderId="2" applyNumberFormat="0" applyAlignment="0" applyProtection="0"/>
    <xf numFmtId="164" fontId="8" fillId="20" borderId="2" applyNumberFormat="0" applyAlignment="0" applyProtection="0"/>
    <xf numFmtId="164" fontId="9" fillId="21" borderId="3" applyNumberFormat="0" applyAlignment="0" applyProtection="0"/>
    <xf numFmtId="164" fontId="10" fillId="7" borderId="2" applyNumberFormat="0" applyAlignment="0" applyProtection="0"/>
    <xf numFmtId="164" fontId="10" fillId="7" borderId="2" applyNumberFormat="0" applyAlignment="0" applyProtection="0"/>
    <xf numFmtId="164" fontId="11" fillId="7" borderId="2" applyNumberFormat="0" applyAlignment="0" applyProtection="0"/>
    <xf numFmtId="164" fontId="10" fillId="7" borderId="2" applyNumberFormat="0" applyAlignment="0" applyProtection="0"/>
    <xf numFmtId="164" fontId="10" fillId="7" borderId="2" applyNumberFormat="0" applyAlignment="0" applyProtection="0"/>
    <xf numFmtId="164" fontId="12" fillId="20" borderId="1" applyNumberFormat="0" applyAlignment="0" applyProtection="0"/>
    <xf numFmtId="164" fontId="12" fillId="20" borderId="1" applyNumberFormat="0" applyAlignment="0" applyProtection="0"/>
    <xf numFmtId="164" fontId="6" fillId="20" borderId="1" applyNumberFormat="0" applyAlignment="0" applyProtection="0"/>
    <xf numFmtId="164" fontId="12" fillId="20" borderId="1" applyNumberFormat="0" applyAlignment="0" applyProtection="0"/>
    <xf numFmtId="164" fontId="12" fillId="20" borderId="1" applyNumberFormat="0" applyAlignment="0" applyProtection="0"/>
    <xf numFmtId="164" fontId="13" fillId="4" borderId="0" applyNumberFormat="0" applyBorder="0" applyAlignment="0" applyProtection="0"/>
    <xf numFmtId="164" fontId="13" fillId="4" borderId="0" applyNumberFormat="0" applyBorder="0" applyAlignment="0" applyProtection="0"/>
    <xf numFmtId="164" fontId="14" fillId="4" borderId="0" applyNumberFormat="0" applyBorder="0" applyAlignment="0" applyProtection="0"/>
    <xf numFmtId="164" fontId="13" fillId="4" borderId="0" applyNumberFormat="0" applyBorder="0" applyAlignment="0" applyProtection="0"/>
    <xf numFmtId="164" fontId="13" fillId="4" borderId="0" applyNumberFormat="0" applyBorder="0" applyAlignment="0" applyProtection="0"/>
    <xf numFmtId="165" fontId="0" fillId="0" borderId="0" applyFill="0" applyBorder="0" applyAlignment="0" applyProtection="0"/>
    <xf numFmtId="164" fontId="11" fillId="7" borderId="2" applyNumberFormat="0" applyAlignment="0" applyProtection="0"/>
    <xf numFmtId="164" fontId="15" fillId="0" borderId="4" applyNumberFormat="0" applyFill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4" fillId="4" borderId="0" applyNumberFormat="0" applyBorder="0" applyAlignment="0" applyProtection="0"/>
    <xf numFmtId="164" fontId="14" fillId="4" borderId="0" applyNumberFormat="0" applyBorder="0" applyAlignment="0" applyProtection="0"/>
    <xf numFmtId="164" fontId="17" fillId="0" borderId="5" applyNumberFormat="0" applyFill="0" applyAlignment="0" applyProtection="0"/>
    <xf numFmtId="164" fontId="18" fillId="0" borderId="6" applyNumberFormat="0" applyFill="0" applyAlignment="0" applyProtection="0"/>
    <xf numFmtId="164" fontId="19" fillId="0" borderId="7" applyNumberFormat="0" applyFill="0" applyAlignment="0" applyProtection="0"/>
    <xf numFmtId="164" fontId="19" fillId="0" borderId="0" applyNumberFormat="0" applyFill="0" applyBorder="0" applyAlignment="0" applyProtection="0"/>
    <xf numFmtId="164" fontId="11" fillId="7" borderId="2" applyNumberFormat="0" applyAlignment="0" applyProtection="0"/>
    <xf numFmtId="164" fontId="20" fillId="0" borderId="8" applyNumberFormat="0" applyFill="0" applyAlignment="0" applyProtection="0"/>
    <xf numFmtId="164" fontId="20" fillId="0" borderId="8" applyNumberFormat="0" applyFill="0" applyAlignment="0" applyProtection="0"/>
    <xf numFmtId="164" fontId="21" fillId="0" borderId="8" applyNumberFormat="0" applyFill="0" applyAlignment="0" applyProtection="0"/>
    <xf numFmtId="164" fontId="20" fillId="0" borderId="8" applyNumberFormat="0" applyFill="0" applyAlignment="0" applyProtection="0"/>
    <xf numFmtId="164" fontId="20" fillId="0" borderId="8" applyNumberFormat="0" applyFill="0" applyAlignment="0" applyProtection="0"/>
    <xf numFmtId="164" fontId="22" fillId="21" borderId="3" applyNumberFormat="0" applyAlignment="0" applyProtection="0"/>
    <xf numFmtId="164" fontId="22" fillId="21" borderId="3" applyNumberFormat="0" applyAlignment="0" applyProtection="0"/>
    <xf numFmtId="164" fontId="9" fillId="21" borderId="3" applyNumberFormat="0" applyAlignment="0" applyProtection="0"/>
    <xf numFmtId="164" fontId="22" fillId="21" borderId="3" applyNumberFormat="0" applyAlignment="0" applyProtection="0"/>
    <xf numFmtId="164" fontId="22" fillId="21" borderId="3" applyNumberFormat="0" applyAlignment="0" applyProtection="0"/>
    <xf numFmtId="164" fontId="21" fillId="0" borderId="8" applyNumberFormat="0" applyFill="0" applyAlignment="0" applyProtection="0"/>
    <xf numFmtId="164" fontId="23" fillId="0" borderId="5" applyNumberFormat="0" applyFill="0" applyAlignment="0" applyProtection="0"/>
    <xf numFmtId="164" fontId="23" fillId="0" borderId="5" applyNumberFormat="0" applyFill="0" applyAlignment="0" applyProtection="0"/>
    <xf numFmtId="164" fontId="17" fillId="0" borderId="5" applyNumberFormat="0" applyFill="0" applyAlignment="0" applyProtection="0"/>
    <xf numFmtId="164" fontId="23" fillId="0" borderId="5" applyNumberFormat="0" applyFill="0" applyAlignment="0" applyProtection="0"/>
    <xf numFmtId="164" fontId="23" fillId="0" borderId="5" applyNumberFormat="0" applyFill="0" applyAlignment="0" applyProtection="0"/>
    <xf numFmtId="164" fontId="24" fillId="0" borderId="6" applyNumberFormat="0" applyFill="0" applyAlignment="0" applyProtection="0"/>
    <xf numFmtId="164" fontId="24" fillId="0" borderId="6" applyNumberFormat="0" applyFill="0" applyAlignment="0" applyProtection="0"/>
    <xf numFmtId="164" fontId="18" fillId="0" borderId="6" applyNumberFormat="0" applyFill="0" applyAlignment="0" applyProtection="0"/>
    <xf numFmtId="164" fontId="24" fillId="0" borderId="6" applyNumberFormat="0" applyFill="0" applyAlignment="0" applyProtection="0"/>
    <xf numFmtId="164" fontId="24" fillId="0" borderId="6" applyNumberFormat="0" applyFill="0" applyAlignment="0" applyProtection="0"/>
    <xf numFmtId="164" fontId="25" fillId="0" borderId="7" applyNumberFormat="0" applyFill="0" applyAlignment="0" applyProtection="0"/>
    <xf numFmtId="164" fontId="25" fillId="0" borderId="7" applyNumberFormat="0" applyFill="0" applyAlignment="0" applyProtection="0"/>
    <xf numFmtId="164" fontId="19" fillId="0" borderId="7" applyNumberFormat="0" applyFill="0" applyAlignment="0" applyProtection="0"/>
    <xf numFmtId="164" fontId="25" fillId="0" borderId="7" applyNumberFormat="0" applyFill="0" applyAlignment="0" applyProtection="0"/>
    <xf numFmtId="164" fontId="25" fillId="0" borderId="7" applyNumberFormat="0" applyFill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22" borderId="0" applyNumberFormat="0" applyBorder="0" applyAlignment="0" applyProtection="0"/>
    <xf numFmtId="164" fontId="26" fillId="22" borderId="0" applyNumberFormat="0" applyBorder="0" applyAlignment="0" applyProtection="0"/>
    <xf numFmtId="164" fontId="27" fillId="22" borderId="0" applyNumberFormat="0" applyBorder="0" applyAlignment="0" applyProtection="0"/>
    <xf numFmtId="164" fontId="27" fillId="22" borderId="0" applyNumberFormat="0" applyBorder="0" applyAlignment="0" applyProtection="0"/>
    <xf numFmtId="164" fontId="26" fillId="22" borderId="0" applyNumberFormat="0" applyBorder="0" applyAlignment="0" applyProtection="0"/>
    <xf numFmtId="164" fontId="27" fillId="22" borderId="0" applyNumberFormat="0" applyBorder="0" applyAlignment="0" applyProtection="0"/>
    <xf numFmtId="164" fontId="27" fillId="22" borderId="0" applyNumberFormat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 vertical="center"/>
      <protection/>
    </xf>
    <xf numFmtId="164" fontId="1" fillId="0" borderId="0">
      <alignment vertical="center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23" borderId="9" applyNumberFormat="0" applyAlignment="0" applyProtection="0"/>
    <xf numFmtId="164" fontId="0" fillId="23" borderId="9" applyNumberFormat="0" applyAlignment="0" applyProtection="0"/>
    <xf numFmtId="164" fontId="28" fillId="20" borderId="2" applyNumberFormat="0" applyAlignment="0" applyProtection="0"/>
    <xf numFmtId="164" fontId="28" fillId="20" borderId="2" applyNumberFormat="0" applyAlignment="0" applyProtection="0"/>
    <xf numFmtId="164" fontId="8" fillId="20" borderId="2" applyNumberFormat="0" applyAlignment="0" applyProtection="0"/>
    <xf numFmtId="164" fontId="28" fillId="20" borderId="2" applyNumberFormat="0" applyAlignment="0" applyProtection="0"/>
    <xf numFmtId="164" fontId="28" fillId="20" borderId="2" applyNumberFormat="0" applyAlignment="0" applyProtection="0"/>
    <xf numFmtId="164" fontId="6" fillId="20" borderId="1" applyNumberFormat="0" applyAlignment="0" applyProtection="0"/>
    <xf numFmtId="164" fontId="7" fillId="3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9" fillId="0" borderId="4" applyNumberFormat="0" applyFill="0" applyAlignment="0" applyProtection="0"/>
    <xf numFmtId="164" fontId="29" fillId="0" borderId="4" applyNumberFormat="0" applyFill="0" applyAlignment="0" applyProtection="0"/>
    <xf numFmtId="164" fontId="15" fillId="0" borderId="4" applyNumberFormat="0" applyFill="0" applyAlignment="0" applyProtection="0"/>
    <xf numFmtId="164" fontId="29" fillId="0" borderId="4" applyNumberFormat="0" applyFill="0" applyAlignment="0" applyProtection="0"/>
    <xf numFmtId="164" fontId="29" fillId="0" borderId="4" applyNumberFormat="0" applyFill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15" fillId="0" borderId="4" applyNumberFormat="0" applyFill="0" applyAlignment="0" applyProtection="0"/>
    <xf numFmtId="164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21" fillId="0" borderId="8" applyNumberFormat="0" applyFill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9" fillId="21" borderId="3" applyNumberFormat="0" applyAlignment="0" applyProtection="0"/>
    <xf numFmtId="164" fontId="34" fillId="3" borderId="0" applyNumberFormat="0" applyBorder="0" applyAlignment="0" applyProtection="0"/>
    <xf numFmtId="164" fontId="34" fillId="3" borderId="0" applyNumberFormat="0" applyBorder="0" applyAlignment="0" applyProtection="0"/>
    <xf numFmtId="164" fontId="7" fillId="3" borderId="0" applyNumberFormat="0" applyBorder="0" applyAlignment="0" applyProtection="0"/>
    <xf numFmtId="164" fontId="34" fillId="3" borderId="0" applyNumberFormat="0" applyBorder="0" applyAlignment="0" applyProtection="0"/>
    <xf numFmtId="164" fontId="34" fillId="3" borderId="0" applyNumberFormat="0" applyBorder="0" applyAlignment="0" applyProtection="0"/>
    <xf numFmtId="164" fontId="33" fillId="0" borderId="0" applyNumberFormat="0" applyFill="0" applyBorder="0" applyAlignment="0" applyProtection="0"/>
    <xf numFmtId="164" fontId="17" fillId="0" borderId="5" applyNumberFormat="0" applyFill="0" applyAlignment="0" applyProtection="0"/>
    <xf numFmtId="164" fontId="18" fillId="0" borderId="6" applyNumberFormat="0" applyFill="0" applyAlignment="0" applyProtection="0"/>
    <xf numFmtId="164" fontId="19" fillId="0" borderId="7" applyNumberFormat="0" applyFill="0" applyAlignment="0" applyProtection="0"/>
    <xf numFmtId="164" fontId="19" fillId="0" borderId="0" applyNumberFormat="0" applyFill="0" applyBorder="0" applyAlignment="0" applyProtection="0"/>
  </cellStyleXfs>
  <cellXfs count="164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 wrapText="1"/>
    </xf>
    <xf numFmtId="167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Border="1" applyAlignment="1">
      <alignment/>
    </xf>
    <xf numFmtId="164" fontId="35" fillId="21" borderId="10" xfId="0" applyFont="1" applyFill="1" applyBorder="1" applyAlignment="1">
      <alignment horizontal="center" vertical="center"/>
    </xf>
    <xf numFmtId="164" fontId="35" fillId="21" borderId="10" xfId="0" applyFont="1" applyFill="1" applyBorder="1" applyAlignment="1">
      <alignment horizontal="center" vertical="center" wrapText="1"/>
    </xf>
    <xf numFmtId="164" fontId="35" fillId="21" borderId="10" xfId="0" applyFont="1" applyFill="1" applyBorder="1" applyAlignment="1" applyProtection="1">
      <alignment horizontal="center" vertical="center" wrapText="1"/>
      <protection/>
    </xf>
    <xf numFmtId="167" fontId="35" fillId="21" borderId="10" xfId="0" applyNumberFormat="1" applyFont="1" applyFill="1" applyBorder="1" applyAlignment="1" applyProtection="1">
      <alignment horizontal="center" vertical="center" wrapText="1"/>
      <protection/>
    </xf>
    <xf numFmtId="168" fontId="36" fillId="0" borderId="0" xfId="0" applyNumberFormat="1" applyFont="1" applyFill="1" applyBorder="1" applyAlignment="1" applyProtection="1">
      <alignment horizontal="center" vertical="center" wrapText="1"/>
      <protection/>
    </xf>
    <xf numFmtId="164" fontId="37" fillId="0" borderId="0" xfId="0" applyFont="1" applyBorder="1" applyAlignment="1">
      <alignment horizontal="center" vertical="center"/>
    </xf>
    <xf numFmtId="164" fontId="38" fillId="0" borderId="0" xfId="0" applyFont="1" applyBorder="1" applyAlignment="1">
      <alignment horizontal="center" vertical="center"/>
    </xf>
    <xf numFmtId="164" fontId="39" fillId="21" borderId="10" xfId="0" applyFont="1" applyFill="1" applyBorder="1" applyAlignment="1">
      <alignment horizontal="center" vertical="center"/>
    </xf>
    <xf numFmtId="164" fontId="39" fillId="21" borderId="10" xfId="0" applyFont="1" applyFill="1" applyBorder="1" applyAlignment="1" applyProtection="1">
      <alignment horizontal="center" vertical="center" wrapText="1"/>
      <protection/>
    </xf>
    <xf numFmtId="169" fontId="39" fillId="21" borderId="10" xfId="0" applyNumberFormat="1" applyFont="1" applyFill="1" applyBorder="1" applyAlignment="1" applyProtection="1">
      <alignment horizontal="center" vertical="center" wrapText="1"/>
      <protection/>
    </xf>
    <xf numFmtId="164" fontId="40" fillId="24" borderId="10" xfId="0" applyFont="1" applyFill="1" applyBorder="1" applyAlignment="1" applyProtection="1">
      <alignment horizontal="center" vertical="center"/>
      <protection locked="0"/>
    </xf>
    <xf numFmtId="164" fontId="35" fillId="24" borderId="10" xfId="0" applyFont="1" applyFill="1" applyBorder="1" applyAlignment="1" applyProtection="1">
      <alignment horizontal="center" vertical="center" shrinkToFit="1"/>
      <protection locked="0"/>
    </xf>
    <xf numFmtId="164" fontId="35" fillId="24" borderId="11" xfId="0" applyFont="1" applyFill="1" applyBorder="1" applyAlignment="1" applyProtection="1">
      <alignment horizontal="left" vertical="center"/>
      <protection locked="0"/>
    </xf>
    <xf numFmtId="164" fontId="35" fillId="24" borderId="12" xfId="0" applyFont="1" applyFill="1" applyBorder="1" applyAlignment="1" applyProtection="1">
      <alignment horizontal="left" vertical="center"/>
      <protection locked="0"/>
    </xf>
    <xf numFmtId="164" fontId="35" fillId="24" borderId="13" xfId="0" applyFont="1" applyFill="1" applyBorder="1" applyAlignment="1" applyProtection="1">
      <alignment horizontal="left" vertical="center"/>
      <protection locked="0"/>
    </xf>
    <xf numFmtId="164" fontId="35" fillId="21" borderId="10" xfId="278" applyFont="1" applyFill="1" applyBorder="1" applyAlignment="1" applyProtection="1">
      <alignment horizontal="center" vertical="center"/>
      <protection locked="0"/>
    </xf>
    <xf numFmtId="164" fontId="35" fillId="21" borderId="10" xfId="278" applyFont="1" applyFill="1" applyBorder="1" applyAlignment="1" applyProtection="1">
      <alignment horizontal="center" vertical="center" wrapText="1"/>
      <protection locked="0"/>
    </xf>
    <xf numFmtId="164" fontId="35" fillId="21" borderId="11" xfId="0" applyFont="1" applyFill="1" applyBorder="1" applyAlignment="1" applyProtection="1">
      <alignment horizontal="left" vertical="center"/>
      <protection locked="0"/>
    </xf>
    <xf numFmtId="164" fontId="35" fillId="21" borderId="12" xfId="0" applyFont="1" applyFill="1" applyBorder="1" applyAlignment="1" applyProtection="1">
      <alignment horizontal="left" vertical="center"/>
      <protection locked="0"/>
    </xf>
    <xf numFmtId="164" fontId="35" fillId="21" borderId="13" xfId="0" applyFont="1" applyFill="1" applyBorder="1" applyAlignment="1" applyProtection="1">
      <alignment horizontal="left" vertical="center"/>
      <protection locked="0"/>
    </xf>
    <xf numFmtId="170" fontId="37" fillId="0" borderId="0" xfId="0" applyNumberFormat="1" applyFont="1" applyBorder="1" applyAlignment="1">
      <alignment horizontal="center" vertical="center"/>
    </xf>
    <xf numFmtId="164" fontId="35" fillId="21" borderId="10" xfId="0" applyFont="1" applyFill="1" applyBorder="1" applyAlignment="1" applyProtection="1">
      <alignment horizontal="center" vertical="center"/>
      <protection locked="0"/>
    </xf>
    <xf numFmtId="164" fontId="35" fillId="21" borderId="10" xfId="0" applyFont="1" applyFill="1" applyBorder="1" applyAlignment="1" applyProtection="1">
      <alignment horizontal="center" vertical="center" shrinkToFit="1"/>
      <protection locked="0"/>
    </xf>
    <xf numFmtId="164" fontId="1" fillId="0" borderId="10" xfId="0" applyFont="1" applyFill="1" applyBorder="1" applyAlignment="1" applyProtection="1">
      <alignment horizontal="center" vertical="center"/>
      <protection locked="0"/>
    </xf>
    <xf numFmtId="164" fontId="1" fillId="0" borderId="10" xfId="0" applyFont="1" applyFill="1" applyBorder="1" applyAlignment="1" applyProtection="1">
      <alignment horizontal="left" vertical="center" wrapText="1"/>
      <protection locked="0"/>
    </xf>
    <xf numFmtId="164" fontId="1" fillId="0" borderId="10" xfId="0" applyFont="1" applyFill="1" applyBorder="1" applyAlignment="1" applyProtection="1">
      <alignment horizontal="center" vertical="center" wrapText="1"/>
      <protection locked="0"/>
    </xf>
    <xf numFmtId="169" fontId="0" fillId="0" borderId="10" xfId="0" applyNumberFormat="1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169" fontId="38" fillId="0" borderId="0" xfId="0" applyNumberFormat="1" applyFont="1" applyFill="1" applyBorder="1" applyAlignment="1">
      <alignment horizontal="center" vertical="center"/>
    </xf>
    <xf numFmtId="164" fontId="38" fillId="0" borderId="0" xfId="0" applyFont="1" applyFill="1" applyBorder="1" applyAlignment="1">
      <alignment horizontal="center" vertical="center"/>
    </xf>
    <xf numFmtId="164" fontId="38" fillId="0" borderId="0" xfId="0" applyFont="1" applyBorder="1" applyAlignment="1">
      <alignment horizontal="left" vertical="center"/>
    </xf>
    <xf numFmtId="169" fontId="38" fillId="0" borderId="0" xfId="0" applyNumberFormat="1" applyFont="1" applyBorder="1" applyAlignment="1">
      <alignment horizontal="center" vertical="center"/>
    </xf>
    <xf numFmtId="164" fontId="1" fillId="0" borderId="10" xfId="270" applyFont="1" applyFill="1" applyBorder="1" applyAlignment="1" applyProtection="1">
      <alignment horizontal="center" vertical="center" wrapText="1"/>
      <protection locked="0"/>
    </xf>
    <xf numFmtId="167" fontId="1" fillId="0" borderId="10" xfId="0" applyNumberFormat="1" applyFont="1" applyFill="1" applyBorder="1" applyAlignment="1">
      <alignment horizontal="center" vertical="center"/>
    </xf>
    <xf numFmtId="167" fontId="0" fillId="0" borderId="10" xfId="0" applyNumberFormat="1" applyFont="1" applyFill="1" applyBorder="1" applyAlignment="1">
      <alignment horizontal="center" vertical="center"/>
    </xf>
    <xf numFmtId="164" fontId="41" fillId="0" borderId="0" xfId="0" applyFont="1" applyFill="1" applyBorder="1" applyAlignment="1">
      <alignment/>
    </xf>
    <xf numFmtId="164" fontId="37" fillId="0" borderId="0" xfId="0" applyFont="1" applyFill="1" applyBorder="1" applyAlignment="1">
      <alignment horizontal="left"/>
    </xf>
    <xf numFmtId="164" fontId="41" fillId="0" borderId="0" xfId="0" applyFont="1" applyBorder="1" applyAlignment="1">
      <alignment/>
    </xf>
    <xf numFmtId="164" fontId="35" fillId="24" borderId="10" xfId="278" applyFont="1" applyFill="1" applyBorder="1" applyAlignment="1" applyProtection="1">
      <alignment horizontal="center" vertical="center"/>
      <protection locked="0"/>
    </xf>
    <xf numFmtId="169" fontId="37" fillId="0" borderId="0" xfId="0" applyNumberFormat="1" applyFont="1" applyBorder="1" applyAlignment="1">
      <alignment horizontal="center" vertical="center"/>
    </xf>
    <xf numFmtId="164" fontId="37" fillId="0" borderId="0" xfId="0" applyFont="1" applyBorder="1" applyAlignment="1">
      <alignment horizontal="left" vertical="center"/>
    </xf>
    <xf numFmtId="171" fontId="0" fillId="0" borderId="10" xfId="0" applyNumberFormat="1" applyFont="1" applyFill="1" applyBorder="1" applyAlignment="1">
      <alignment horizontal="center" vertical="center"/>
    </xf>
    <xf numFmtId="169" fontId="37" fillId="0" borderId="0" xfId="0" applyNumberFormat="1" applyFont="1" applyFill="1" applyBorder="1" applyAlignment="1">
      <alignment horizontal="center" vertical="center"/>
    </xf>
    <xf numFmtId="170" fontId="37" fillId="0" borderId="0" xfId="0" applyNumberFormat="1" applyFont="1" applyFill="1" applyBorder="1" applyAlignment="1">
      <alignment horizontal="center" vertical="center"/>
    </xf>
    <xf numFmtId="164" fontId="37" fillId="0" borderId="0" xfId="0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center" vertical="center"/>
    </xf>
    <xf numFmtId="169" fontId="35" fillId="21" borderId="13" xfId="0" applyNumberFormat="1" applyFont="1" applyFill="1" applyBorder="1" applyAlignment="1" applyProtection="1">
      <alignment horizontal="left" vertical="center"/>
      <protection locked="0"/>
    </xf>
    <xf numFmtId="164" fontId="42" fillId="25" borderId="0" xfId="0" applyFont="1" applyFill="1" applyBorder="1" applyAlignment="1" applyProtection="1">
      <alignment vertical="center" wrapText="1"/>
      <protection locked="0"/>
    </xf>
    <xf numFmtId="164" fontId="38" fillId="17" borderId="0" xfId="0" applyFont="1" applyFill="1" applyBorder="1" applyAlignment="1">
      <alignment horizontal="center" vertical="center"/>
    </xf>
    <xf numFmtId="164" fontId="42" fillId="0" borderId="0" xfId="0" applyFont="1" applyFill="1" applyBorder="1" applyAlignment="1" applyProtection="1">
      <alignment vertical="center" wrapText="1"/>
      <protection locked="0"/>
    </xf>
    <xf numFmtId="164" fontId="35" fillId="0" borderId="0" xfId="0" applyFont="1" applyFill="1" applyBorder="1" applyAlignment="1" applyProtection="1">
      <alignment horizontal="left" vertical="center" wrapText="1"/>
      <protection locked="0"/>
    </xf>
    <xf numFmtId="164" fontId="42" fillId="21" borderId="10" xfId="278" applyFont="1" applyFill="1" applyBorder="1" applyAlignment="1" applyProtection="1">
      <alignment horizontal="center" vertical="center"/>
      <protection locked="0"/>
    </xf>
    <xf numFmtId="164" fontId="35" fillId="21" borderId="11" xfId="278" applyFont="1" applyFill="1" applyBorder="1" applyAlignment="1" applyProtection="1">
      <alignment vertical="center"/>
      <protection locked="0"/>
    </xf>
    <xf numFmtId="164" fontId="35" fillId="21" borderId="12" xfId="278" applyFont="1" applyFill="1" applyBorder="1" applyAlignment="1" applyProtection="1">
      <alignment vertical="center"/>
      <protection locked="0"/>
    </xf>
    <xf numFmtId="164" fontId="35" fillId="21" borderId="13" xfId="278" applyFont="1" applyFill="1" applyBorder="1" applyAlignment="1" applyProtection="1">
      <alignment vertical="center"/>
      <protection locked="0"/>
    </xf>
    <xf numFmtId="169" fontId="38" fillId="0" borderId="0" xfId="0" applyNumberFormat="1" applyFont="1" applyBorder="1" applyAlignment="1">
      <alignment/>
    </xf>
    <xf numFmtId="164" fontId="42" fillId="21" borderId="10" xfId="0" applyFont="1" applyFill="1" applyBorder="1" applyAlignment="1" applyProtection="1">
      <alignment horizontal="center" vertical="center"/>
      <protection locked="0"/>
    </xf>
    <xf numFmtId="164" fontId="1" fillId="0" borderId="14" xfId="0" applyFont="1" applyFill="1" applyBorder="1" applyAlignment="1" applyProtection="1">
      <alignment horizontal="center" vertical="center"/>
      <protection locked="0"/>
    </xf>
    <xf numFmtId="169" fontId="38" fillId="0" borderId="0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17" borderId="0" xfId="0" applyFont="1" applyFill="1" applyBorder="1" applyAlignment="1">
      <alignment/>
    </xf>
    <xf numFmtId="164" fontId="1" fillId="0" borderId="10" xfId="0" applyFont="1" applyFill="1" applyBorder="1" applyAlignment="1" applyProtection="1">
      <alignment vertical="center" wrapText="1"/>
      <protection locked="0"/>
    </xf>
    <xf numFmtId="164" fontId="35" fillId="21" borderId="15" xfId="0" applyFont="1" applyFill="1" applyBorder="1" applyAlignment="1" applyProtection="1">
      <alignment horizontal="left" vertical="center"/>
      <protection locked="0"/>
    </xf>
    <xf numFmtId="164" fontId="35" fillId="21" borderId="16" xfId="0" applyFont="1" applyFill="1" applyBorder="1" applyAlignment="1" applyProtection="1">
      <alignment horizontal="left" vertical="center"/>
      <protection locked="0"/>
    </xf>
    <xf numFmtId="164" fontId="35" fillId="21" borderId="17" xfId="0" applyFont="1" applyFill="1" applyBorder="1" applyAlignment="1" applyProtection="1">
      <alignment horizontal="left" vertical="center"/>
      <protection locked="0"/>
    </xf>
    <xf numFmtId="164" fontId="35" fillId="21" borderId="18" xfId="0" applyFont="1" applyFill="1" applyBorder="1" applyAlignment="1" applyProtection="1">
      <alignment horizontal="left" vertical="center"/>
      <protection locked="0"/>
    </xf>
    <xf numFmtId="164" fontId="35" fillId="21" borderId="19" xfId="0" applyFont="1" applyFill="1" applyBorder="1" applyAlignment="1" applyProtection="1">
      <alignment horizontal="left" vertical="center"/>
      <protection locked="0"/>
    </xf>
    <xf numFmtId="164" fontId="35" fillId="21" borderId="20" xfId="0" applyFont="1" applyFill="1" applyBorder="1" applyAlignment="1" applyProtection="1">
      <alignment horizontal="left" vertical="center"/>
      <protection locked="0"/>
    </xf>
    <xf numFmtId="164" fontId="1" fillId="0" borderId="14" xfId="0" applyFont="1" applyFill="1" applyBorder="1" applyAlignment="1" applyProtection="1">
      <alignment horizontal="center" vertical="center" wrapText="1"/>
      <protection locked="0"/>
    </xf>
    <xf numFmtId="169" fontId="35" fillId="21" borderId="17" xfId="0" applyNumberFormat="1" applyFont="1" applyFill="1" applyBorder="1" applyAlignment="1" applyProtection="1">
      <alignment horizontal="left" vertical="center"/>
      <protection locked="0"/>
    </xf>
    <xf numFmtId="169" fontId="35" fillId="21" borderId="20" xfId="0" applyNumberFormat="1" applyFont="1" applyFill="1" applyBorder="1" applyAlignment="1" applyProtection="1">
      <alignment horizontal="left" vertical="center"/>
      <protection locked="0"/>
    </xf>
    <xf numFmtId="169" fontId="37" fillId="0" borderId="0" xfId="0" applyNumberFormat="1" applyFont="1" applyBorder="1" applyAlignment="1">
      <alignment/>
    </xf>
    <xf numFmtId="164" fontId="35" fillId="21" borderId="14" xfId="0" applyFont="1" applyFill="1" applyBorder="1" applyAlignment="1" applyProtection="1">
      <alignment horizontal="center" vertical="center"/>
      <protection locked="0"/>
    </xf>
    <xf numFmtId="164" fontId="1" fillId="0" borderId="10" xfId="270" applyFont="1" applyFill="1" applyBorder="1" applyAlignment="1" applyProtection="1">
      <alignment horizontal="center" vertical="center"/>
      <protection locked="0"/>
    </xf>
    <xf numFmtId="164" fontId="1" fillId="0" borderId="10" xfId="270" applyFont="1" applyFill="1" applyBorder="1" applyAlignment="1" applyProtection="1">
      <alignment vertical="center" wrapText="1"/>
      <protection locked="0"/>
    </xf>
    <xf numFmtId="164" fontId="35" fillId="24" borderId="11" xfId="0" applyFont="1" applyFill="1" applyBorder="1" applyAlignment="1" applyProtection="1">
      <alignment vertical="center"/>
      <protection locked="0"/>
    </xf>
    <xf numFmtId="164" fontId="35" fillId="24" borderId="12" xfId="0" applyFont="1" applyFill="1" applyBorder="1" applyAlignment="1" applyProtection="1">
      <alignment vertical="center"/>
      <protection locked="0"/>
    </xf>
    <xf numFmtId="164" fontId="35" fillId="24" borderId="13" xfId="0" applyFont="1" applyFill="1" applyBorder="1" applyAlignment="1" applyProtection="1">
      <alignment vertical="center"/>
      <protection locked="0"/>
    </xf>
    <xf numFmtId="164" fontId="35" fillId="21" borderId="11" xfId="0" applyFont="1" applyFill="1" applyBorder="1" applyAlignment="1" applyProtection="1">
      <alignment vertical="center"/>
      <protection locked="0"/>
    </xf>
    <xf numFmtId="164" fontId="35" fillId="21" borderId="12" xfId="0" applyFont="1" applyFill="1" applyBorder="1" applyAlignment="1" applyProtection="1">
      <alignment vertical="center"/>
      <protection locked="0"/>
    </xf>
    <xf numFmtId="164" fontId="35" fillId="21" borderId="13" xfId="0" applyFont="1" applyFill="1" applyBorder="1" applyAlignment="1" applyProtection="1">
      <alignment vertical="center"/>
      <protection locked="0"/>
    </xf>
    <xf numFmtId="173" fontId="0" fillId="0" borderId="10" xfId="0" applyNumberFormat="1" applyFont="1" applyFill="1" applyBorder="1" applyAlignment="1">
      <alignment horizontal="center" vertical="center"/>
    </xf>
    <xf numFmtId="164" fontId="1" fillId="24" borderId="10" xfId="0" applyFont="1" applyFill="1" applyBorder="1" applyAlignment="1" applyProtection="1">
      <alignment horizontal="center" vertical="center"/>
      <protection locked="0"/>
    </xf>
    <xf numFmtId="164" fontId="35" fillId="24" borderId="10" xfId="0" applyFont="1" applyFill="1" applyBorder="1" applyAlignment="1" applyProtection="1">
      <alignment horizontal="center" vertical="center"/>
      <protection locked="0"/>
    </xf>
    <xf numFmtId="169" fontId="42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0" xfId="0" applyFont="1" applyFill="1" applyBorder="1" applyAlignment="1" applyProtection="1">
      <alignment horizontal="center" vertical="center" wrapText="1"/>
      <protection locked="0"/>
    </xf>
    <xf numFmtId="164" fontId="37" fillId="0" borderId="0" xfId="0" applyFont="1" applyBorder="1" applyAlignment="1">
      <alignment/>
    </xf>
    <xf numFmtId="174" fontId="0" fillId="0" borderId="0" xfId="0" applyNumberFormat="1" applyFont="1" applyFill="1" applyBorder="1" applyAlignment="1">
      <alignment/>
    </xf>
    <xf numFmtId="164" fontId="1" fillId="0" borderId="10" xfId="0" applyFont="1" applyFill="1" applyBorder="1" applyAlignment="1">
      <alignment horizontal="center" vertical="center"/>
    </xf>
    <xf numFmtId="164" fontId="1" fillId="0" borderId="10" xfId="0" applyFont="1" applyFill="1" applyBorder="1" applyAlignment="1">
      <alignment horizontal="left" vertical="center" wrapText="1"/>
    </xf>
    <xf numFmtId="169" fontId="1" fillId="0" borderId="14" xfId="0" applyNumberFormat="1" applyFont="1" applyFill="1" applyBorder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35" fillId="21" borderId="12" xfId="0" applyFont="1" applyFill="1" applyBorder="1" applyAlignment="1" applyProtection="1">
      <alignment vertical="center" wrapText="1"/>
      <protection locked="0"/>
    </xf>
    <xf numFmtId="164" fontId="35" fillId="21" borderId="13" xfId="0" applyFont="1" applyFill="1" applyBorder="1" applyAlignment="1" applyProtection="1">
      <alignment vertical="center" wrapText="1"/>
      <protection locked="0"/>
    </xf>
    <xf numFmtId="169" fontId="37" fillId="0" borderId="0" xfId="0" applyNumberFormat="1" applyFont="1" applyFill="1" applyBorder="1" applyAlignment="1">
      <alignment/>
    </xf>
    <xf numFmtId="164" fontId="1" fillId="0" borderId="10" xfId="0" applyFont="1" applyFill="1" applyBorder="1" applyAlignment="1" applyProtection="1">
      <alignment vertical="center"/>
      <protection locked="0"/>
    </xf>
    <xf numFmtId="169" fontId="38" fillId="0" borderId="0" xfId="0" applyNumberFormat="1" applyFont="1" applyFill="1" applyBorder="1" applyAlignment="1">
      <alignment wrapText="1"/>
    </xf>
    <xf numFmtId="164" fontId="0" fillId="0" borderId="0" xfId="0" applyFont="1" applyFill="1" applyBorder="1" applyAlignment="1">
      <alignment wrapText="1"/>
    </xf>
    <xf numFmtId="164" fontId="0" fillId="0" borderId="0" xfId="0" applyFont="1" applyBorder="1" applyAlignment="1">
      <alignment wrapText="1"/>
    </xf>
    <xf numFmtId="171" fontId="0" fillId="0" borderId="10" xfId="0" applyNumberFormat="1" applyFont="1" applyFill="1" applyBorder="1" applyAlignment="1">
      <alignment horizontal="center" vertical="center" wrapText="1"/>
    </xf>
    <xf numFmtId="169" fontId="35" fillId="21" borderId="13" xfId="0" applyNumberFormat="1" applyFont="1" applyFill="1" applyBorder="1" applyAlignment="1" applyProtection="1">
      <alignment horizontal="left" vertical="center" wrapText="1"/>
      <protection locked="0"/>
    </xf>
    <xf numFmtId="171" fontId="0" fillId="0" borderId="0" xfId="0" applyNumberFormat="1" applyFont="1" applyBorder="1" applyAlignment="1">
      <alignment/>
    </xf>
    <xf numFmtId="164" fontId="1" fillId="0" borderId="10" xfId="270" applyFont="1" applyFill="1" applyBorder="1" applyAlignment="1" applyProtection="1">
      <alignment horizontal="left" vertical="center" wrapText="1"/>
      <protection locked="0"/>
    </xf>
    <xf numFmtId="167" fontId="1" fillId="0" borderId="10" xfId="0" applyNumberFormat="1" applyFont="1" applyFill="1" applyBorder="1" applyAlignment="1">
      <alignment horizontal="center" vertical="center" wrapText="1"/>
    </xf>
    <xf numFmtId="164" fontId="42" fillId="21" borderId="11" xfId="0" applyFont="1" applyFill="1" applyBorder="1" applyAlignment="1" applyProtection="1">
      <alignment horizontal="left" vertical="center"/>
      <protection locked="0"/>
    </xf>
    <xf numFmtId="164" fontId="35" fillId="24" borderId="12" xfId="0" applyFont="1" applyFill="1" applyBorder="1" applyAlignment="1" applyProtection="1">
      <alignment horizontal="left" vertical="center" wrapText="1"/>
      <protection locked="0"/>
    </xf>
    <xf numFmtId="164" fontId="35" fillId="24" borderId="13" xfId="0" applyFont="1" applyFill="1" applyBorder="1" applyAlignment="1" applyProtection="1">
      <alignment horizontal="left" vertical="center" wrapText="1"/>
      <protection locked="0"/>
    </xf>
    <xf numFmtId="164" fontId="35" fillId="21" borderId="12" xfId="0" applyFont="1" applyFill="1" applyBorder="1" applyAlignment="1" applyProtection="1">
      <alignment horizontal="left" vertical="center" wrapText="1"/>
      <protection locked="0"/>
    </xf>
    <xf numFmtId="164" fontId="35" fillId="21" borderId="13" xfId="0" applyFont="1" applyFill="1" applyBorder="1" applyAlignment="1" applyProtection="1">
      <alignment horizontal="left" vertical="center" wrapText="1"/>
      <protection locked="0"/>
    </xf>
    <xf numFmtId="164" fontId="35" fillId="21" borderId="10" xfId="0" applyFont="1" applyFill="1" applyBorder="1" applyAlignment="1" applyProtection="1">
      <alignment horizontal="left" vertical="center"/>
      <protection locked="0"/>
    </xf>
    <xf numFmtId="164" fontId="35" fillId="21" borderId="10" xfId="0" applyFont="1" applyFill="1" applyBorder="1" applyAlignment="1" applyProtection="1">
      <alignment horizontal="left" vertical="center" wrapText="1"/>
      <protection locked="0"/>
    </xf>
    <xf numFmtId="164" fontId="35" fillId="21" borderId="16" xfId="0" applyFont="1" applyFill="1" applyBorder="1" applyAlignment="1" applyProtection="1">
      <alignment horizontal="left" vertical="center" wrapText="1"/>
      <protection locked="0"/>
    </xf>
    <xf numFmtId="164" fontId="35" fillId="21" borderId="17" xfId="0" applyFont="1" applyFill="1" applyBorder="1" applyAlignment="1" applyProtection="1">
      <alignment horizontal="left" vertical="center" wrapText="1"/>
      <protection locked="0"/>
    </xf>
    <xf numFmtId="164" fontId="35" fillId="21" borderId="19" xfId="0" applyFont="1" applyFill="1" applyBorder="1" applyAlignment="1" applyProtection="1">
      <alignment horizontal="left" vertical="center" wrapText="1"/>
      <protection locked="0"/>
    </xf>
    <xf numFmtId="164" fontId="35" fillId="21" borderId="20" xfId="0" applyFont="1" applyFill="1" applyBorder="1" applyAlignment="1" applyProtection="1">
      <alignment horizontal="left" vertical="center" wrapText="1"/>
      <protection locked="0"/>
    </xf>
    <xf numFmtId="164" fontId="1" fillId="0" borderId="14" xfId="0" applyFont="1" applyFill="1" applyBorder="1" applyAlignment="1" applyProtection="1">
      <alignment horizontal="left" vertical="center" wrapText="1"/>
      <protection locked="0"/>
    </xf>
    <xf numFmtId="171" fontId="0" fillId="0" borderId="14" xfId="0" applyNumberFormat="1" applyFont="1" applyFill="1" applyBorder="1" applyAlignment="1">
      <alignment horizontal="center" vertical="center"/>
    </xf>
    <xf numFmtId="169" fontId="38" fillId="17" borderId="0" xfId="0" applyNumberFormat="1" applyFont="1" applyFill="1" applyBorder="1" applyAlignment="1">
      <alignment/>
    </xf>
    <xf numFmtId="175" fontId="0" fillId="26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7" fontId="1" fillId="26" borderId="10" xfId="0" applyNumberFormat="1" applyFont="1" applyFill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74" fontId="0" fillId="0" borderId="0" xfId="0" applyNumberFormat="1" applyFont="1" applyBorder="1" applyAlignment="1">
      <alignment/>
    </xf>
    <xf numFmtId="169" fontId="38" fillId="25" borderId="0" xfId="0" applyNumberFormat="1" applyFont="1" applyFill="1" applyBorder="1" applyAlignment="1">
      <alignment/>
    </xf>
    <xf numFmtId="164" fontId="0" fillId="25" borderId="0" xfId="0" applyFont="1" applyFill="1" applyBorder="1" applyAlignment="1">
      <alignment/>
    </xf>
    <xf numFmtId="169" fontId="42" fillId="0" borderId="10" xfId="0" applyNumberFormat="1" applyFont="1" applyBorder="1" applyAlignment="1">
      <alignment horizontal="center" vertical="center"/>
    </xf>
    <xf numFmtId="169" fontId="42" fillId="0" borderId="0" xfId="0" applyNumberFormat="1" applyFont="1" applyBorder="1" applyAlignment="1">
      <alignment horizontal="center" vertical="center"/>
    </xf>
    <xf numFmtId="170" fontId="38" fillId="0" borderId="10" xfId="0" applyNumberFormat="1" applyFont="1" applyBorder="1" applyAlignment="1">
      <alignment horizontal="center" vertical="center"/>
    </xf>
    <xf numFmtId="170" fontId="38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/>
    </xf>
    <xf numFmtId="168" fontId="35" fillId="21" borderId="10" xfId="0" applyNumberFormat="1" applyFont="1" applyFill="1" applyBorder="1" applyAlignment="1" applyProtection="1">
      <alignment horizontal="center" vertical="center" wrapText="1"/>
      <protection/>
    </xf>
    <xf numFmtId="174" fontId="35" fillId="24" borderId="10" xfId="0" applyNumberFormat="1" applyFont="1" applyFill="1" applyBorder="1" applyAlignment="1" applyProtection="1">
      <alignment horizontal="center" vertical="center"/>
      <protection locked="0"/>
    </xf>
    <xf numFmtId="174" fontId="35" fillId="21" borderId="13" xfId="0" applyNumberFormat="1" applyFont="1" applyFill="1" applyBorder="1" applyAlignment="1" applyProtection="1">
      <alignment horizontal="center" vertical="center"/>
      <protection locked="0"/>
    </xf>
    <xf numFmtId="174" fontId="46" fillId="21" borderId="13" xfId="0" applyNumberFormat="1" applyFont="1" applyFill="1" applyBorder="1" applyAlignment="1" applyProtection="1">
      <alignment horizontal="center" vertical="center"/>
      <protection locked="0"/>
    </xf>
    <xf numFmtId="16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1" fillId="0" borderId="10" xfId="0" applyNumberFormat="1" applyFont="1" applyFill="1" applyBorder="1" applyAlignment="1" applyProtection="1">
      <alignment horizontal="center" vertical="center"/>
      <protection locked="0"/>
    </xf>
    <xf numFmtId="174" fontId="35" fillId="0" borderId="10" xfId="0" applyNumberFormat="1" applyFont="1" applyBorder="1" applyAlignment="1">
      <alignment horizontal="center" vertical="center"/>
    </xf>
    <xf numFmtId="164" fontId="42" fillId="21" borderId="13" xfId="0" applyFont="1" applyFill="1" applyBorder="1" applyAlignment="1" applyProtection="1">
      <alignment horizontal="left" vertical="center"/>
      <protection locked="0"/>
    </xf>
    <xf numFmtId="167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35" fillId="24" borderId="12" xfId="0" applyNumberFormat="1" applyFont="1" applyFill="1" applyBorder="1" applyAlignment="1" applyProtection="1">
      <alignment horizontal="left" vertical="center"/>
      <protection locked="0"/>
    </xf>
    <xf numFmtId="164" fontId="42" fillId="24" borderId="13" xfId="0" applyFont="1" applyFill="1" applyBorder="1" applyAlignment="1" applyProtection="1">
      <alignment horizontal="left" vertical="center"/>
      <protection locked="0"/>
    </xf>
    <xf numFmtId="174" fontId="35" fillId="24" borderId="13" xfId="0" applyNumberFormat="1" applyFont="1" applyFill="1" applyBorder="1" applyAlignment="1" applyProtection="1">
      <alignment horizontal="center" vertical="center"/>
      <protection locked="0"/>
    </xf>
    <xf numFmtId="167" fontId="35" fillId="21" borderId="12" xfId="0" applyNumberFormat="1" applyFont="1" applyFill="1" applyBorder="1" applyAlignment="1" applyProtection="1">
      <alignment horizontal="left" vertical="center"/>
      <protection locked="0"/>
    </xf>
    <xf numFmtId="174" fontId="35" fillId="0" borderId="10" xfId="0" applyNumberFormat="1" applyFont="1" applyFill="1" applyBorder="1" applyAlignment="1">
      <alignment horizontal="center" vertical="center"/>
    </xf>
    <xf numFmtId="164" fontId="42" fillId="21" borderId="17" xfId="0" applyFont="1" applyFill="1" applyBorder="1" applyAlignment="1" applyProtection="1">
      <alignment horizontal="left" vertical="center"/>
      <protection locked="0"/>
    </xf>
    <xf numFmtId="174" fontId="46" fillId="21" borderId="10" xfId="0" applyNumberFormat="1" applyFont="1" applyFill="1" applyBorder="1" applyAlignment="1" applyProtection="1">
      <alignment horizontal="center" vertical="center"/>
      <protection locked="0"/>
    </xf>
    <xf numFmtId="164" fontId="42" fillId="21" borderId="20" xfId="0" applyFont="1" applyFill="1" applyBorder="1" applyAlignment="1" applyProtection="1">
      <alignment horizontal="left" vertical="center"/>
      <protection locked="0"/>
    </xf>
    <xf numFmtId="164" fontId="1" fillId="0" borderId="14" xfId="270" applyFont="1" applyFill="1" applyBorder="1" applyAlignment="1" applyProtection="1">
      <alignment horizontal="center" vertical="center"/>
      <protection locked="0"/>
    </xf>
    <xf numFmtId="164" fontId="1" fillId="0" borderId="14" xfId="0" applyFont="1" applyBorder="1" applyAlignment="1">
      <alignment horizontal="center" vertical="center"/>
    </xf>
    <xf numFmtId="164" fontId="37" fillId="20" borderId="10" xfId="276" applyFont="1" applyFill="1" applyBorder="1" applyAlignment="1">
      <alignment horizontal="right" vertical="center"/>
      <protection/>
    </xf>
    <xf numFmtId="174" fontId="37" fillId="20" borderId="10" xfId="277" applyNumberFormat="1" applyFont="1" applyFill="1" applyBorder="1" applyAlignment="1">
      <alignment horizontal="center" vertical="center"/>
      <protection/>
    </xf>
    <xf numFmtId="178" fontId="37" fillId="20" borderId="10" xfId="276" applyNumberFormat="1" applyFont="1" applyFill="1" applyBorder="1" applyAlignment="1">
      <alignment horizontal="right" vertical="center"/>
      <protection/>
    </xf>
    <xf numFmtId="164" fontId="0" fillId="17" borderId="0" xfId="0" applyFont="1" applyFill="1" applyBorder="1" applyAlignment="1">
      <alignment horizontal="center"/>
    </xf>
    <xf numFmtId="164" fontId="41" fillId="0" borderId="0" xfId="0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64" fontId="0" fillId="25" borderId="0" xfId="0" applyFont="1" applyFill="1" applyBorder="1" applyAlignment="1">
      <alignment horizontal="center"/>
    </xf>
  </cellXfs>
  <cellStyles count="32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20% - akcent 1" xfId="32"/>
    <cellStyle name="20% - akcent 1 2" xfId="33"/>
    <cellStyle name="20% - akcent 1 3" xfId="34"/>
    <cellStyle name="20% - akcent 1 4" xfId="35"/>
    <cellStyle name="20% - akcent 1 5" xfId="36"/>
    <cellStyle name="20% - akcent 2" xfId="37"/>
    <cellStyle name="20% - akcent 2 2" xfId="38"/>
    <cellStyle name="20% - akcent 2 3" xfId="39"/>
    <cellStyle name="20% - akcent 2 4" xfId="40"/>
    <cellStyle name="20% - akcent 2 5" xfId="41"/>
    <cellStyle name="20% - akcent 3" xfId="42"/>
    <cellStyle name="20% - akcent 3 2" xfId="43"/>
    <cellStyle name="20% - akcent 3 3" xfId="44"/>
    <cellStyle name="20% - akcent 3 4" xfId="45"/>
    <cellStyle name="20% - akcent 3 5" xfId="46"/>
    <cellStyle name="20% - akcent 4" xfId="47"/>
    <cellStyle name="20% - akcent 4 2" xfId="48"/>
    <cellStyle name="20% - akcent 4 3" xfId="49"/>
    <cellStyle name="20% - akcent 4 4" xfId="50"/>
    <cellStyle name="20% - akcent 4 5" xfId="51"/>
    <cellStyle name="20% - akcent 5" xfId="52"/>
    <cellStyle name="20% - akcent 5 2" xfId="53"/>
    <cellStyle name="20% - akcent 5 3" xfId="54"/>
    <cellStyle name="20% - akcent 5 4" xfId="55"/>
    <cellStyle name="20% - akcent 5 5" xfId="56"/>
    <cellStyle name="20% - akcent 6" xfId="57"/>
    <cellStyle name="20% - akcent 6 2" xfId="58"/>
    <cellStyle name="20% - akcent 6 3" xfId="59"/>
    <cellStyle name="20% - akcent 6 4" xfId="60"/>
    <cellStyle name="20% - akcent 6 5" xfId="61"/>
    <cellStyle name="40 % - Akzent1" xfId="62"/>
    <cellStyle name="40 % - Akzent2" xfId="63"/>
    <cellStyle name="40 % - Akzent3" xfId="64"/>
    <cellStyle name="40 % - Akzent4" xfId="65"/>
    <cellStyle name="40 % - Akzent5" xfId="66"/>
    <cellStyle name="40 % - Akzent6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akcent 1" xfId="74"/>
    <cellStyle name="40% - akcent 1 2" xfId="75"/>
    <cellStyle name="40% - akcent 1 3" xfId="76"/>
    <cellStyle name="40% - akcent 1 4" xfId="77"/>
    <cellStyle name="40% - akcent 1 5" xfId="78"/>
    <cellStyle name="40% - akcent 2" xfId="79"/>
    <cellStyle name="40% - akcent 2 2" xfId="80"/>
    <cellStyle name="40% - akcent 2 3" xfId="81"/>
    <cellStyle name="40% - akcent 2 4" xfId="82"/>
    <cellStyle name="40% - akcent 2 5" xfId="83"/>
    <cellStyle name="40% - akcent 3" xfId="84"/>
    <cellStyle name="40% - akcent 3 2" xfId="85"/>
    <cellStyle name="40% - akcent 3 3" xfId="86"/>
    <cellStyle name="40% - akcent 3 4" xfId="87"/>
    <cellStyle name="40% - akcent 3 5" xfId="88"/>
    <cellStyle name="40% - akcent 4" xfId="89"/>
    <cellStyle name="40% - akcent 4 2" xfId="90"/>
    <cellStyle name="40% - akcent 4 3" xfId="91"/>
    <cellStyle name="40% - akcent 4 4" xfId="92"/>
    <cellStyle name="40% - akcent 4 5" xfId="93"/>
    <cellStyle name="40% - akcent 5" xfId="94"/>
    <cellStyle name="40% - akcent 5 2" xfId="95"/>
    <cellStyle name="40% - akcent 5 3" xfId="96"/>
    <cellStyle name="40% - akcent 5 4" xfId="97"/>
    <cellStyle name="40% - akcent 5 5" xfId="98"/>
    <cellStyle name="40% - akcent 6" xfId="99"/>
    <cellStyle name="40% - akcent 6 2" xfId="100"/>
    <cellStyle name="40% - akcent 6 3" xfId="101"/>
    <cellStyle name="40% - akcent 6 4" xfId="102"/>
    <cellStyle name="40% - akcent 6 5" xfId="103"/>
    <cellStyle name="60 % - Akzent1" xfId="104"/>
    <cellStyle name="60 % - Akzent2" xfId="105"/>
    <cellStyle name="60 % - Akzent3" xfId="106"/>
    <cellStyle name="60 % - Akzent4" xfId="107"/>
    <cellStyle name="60 % - Akzent5" xfId="108"/>
    <cellStyle name="60 % - Akzent6" xfId="109"/>
    <cellStyle name="60% - Accent1" xfId="110"/>
    <cellStyle name="60% - Accent2" xfId="111"/>
    <cellStyle name="60% - Accent3" xfId="112"/>
    <cellStyle name="60% - Accent4" xfId="113"/>
    <cellStyle name="60% - Accent5" xfId="114"/>
    <cellStyle name="60% - Accent6" xfId="115"/>
    <cellStyle name="60% - akcent 1" xfId="116"/>
    <cellStyle name="60% - akcent 1 2" xfId="117"/>
    <cellStyle name="60% - akcent 1 3" xfId="118"/>
    <cellStyle name="60% - akcent 1 4" xfId="119"/>
    <cellStyle name="60% - akcent 1 5" xfId="120"/>
    <cellStyle name="60% - akcent 2" xfId="121"/>
    <cellStyle name="60% - akcent 2 2" xfId="122"/>
    <cellStyle name="60% - akcent 2 3" xfId="123"/>
    <cellStyle name="60% - akcent 2 4" xfId="124"/>
    <cellStyle name="60% - akcent 2 5" xfId="125"/>
    <cellStyle name="60% - akcent 3" xfId="126"/>
    <cellStyle name="60% - akcent 3 2" xfId="127"/>
    <cellStyle name="60% - akcent 3 3" xfId="128"/>
    <cellStyle name="60% - akcent 3 4" xfId="129"/>
    <cellStyle name="60% - akcent 3 5" xfId="130"/>
    <cellStyle name="60% - akcent 4" xfId="131"/>
    <cellStyle name="60% - akcent 4 2" xfId="132"/>
    <cellStyle name="60% - akcent 4 3" xfId="133"/>
    <cellStyle name="60% - akcent 4 4" xfId="134"/>
    <cellStyle name="60% - akcent 4 5" xfId="135"/>
    <cellStyle name="60% - akcent 5" xfId="136"/>
    <cellStyle name="60% - akcent 5 2" xfId="137"/>
    <cellStyle name="60% - akcent 5 3" xfId="138"/>
    <cellStyle name="60% - akcent 5 4" xfId="139"/>
    <cellStyle name="60% - akcent 5 5" xfId="140"/>
    <cellStyle name="60% - akcent 6" xfId="141"/>
    <cellStyle name="60% - akcent 6 2" xfId="142"/>
    <cellStyle name="60% - akcent 6 3" xfId="143"/>
    <cellStyle name="60% - akcent 6 4" xfId="144"/>
    <cellStyle name="60% - akcent 6 5" xfId="145"/>
    <cellStyle name="_PERSONAL" xfId="146"/>
    <cellStyle name="_PERSONAL_1" xfId="147"/>
    <cellStyle name="Accent1" xfId="148"/>
    <cellStyle name="Accent2" xfId="149"/>
    <cellStyle name="Accent3" xfId="150"/>
    <cellStyle name="Accent4" xfId="151"/>
    <cellStyle name="Accent5" xfId="152"/>
    <cellStyle name="Accent6" xfId="153"/>
    <cellStyle name="Akcent 1" xfId="154"/>
    <cellStyle name="Akcent 1 2" xfId="155"/>
    <cellStyle name="Akcent 1 3" xfId="156"/>
    <cellStyle name="Akcent 1 4" xfId="157"/>
    <cellStyle name="Akcent 1 5" xfId="158"/>
    <cellStyle name="Akcent 2" xfId="159"/>
    <cellStyle name="Akcent 2 2" xfId="160"/>
    <cellStyle name="Akcent 2 3" xfId="161"/>
    <cellStyle name="Akcent 2 4" xfId="162"/>
    <cellStyle name="Akcent 2 5" xfId="163"/>
    <cellStyle name="Akcent 3" xfId="164"/>
    <cellStyle name="Akcent 3 2" xfId="165"/>
    <cellStyle name="Akcent 3 3" xfId="166"/>
    <cellStyle name="Akcent 3 4" xfId="167"/>
    <cellStyle name="Akcent 3 5" xfId="168"/>
    <cellStyle name="Akcent 4" xfId="169"/>
    <cellStyle name="Akcent 4 2" xfId="170"/>
    <cellStyle name="Akcent 4 3" xfId="171"/>
    <cellStyle name="Akcent 4 4" xfId="172"/>
    <cellStyle name="Akcent 4 5" xfId="173"/>
    <cellStyle name="Akcent 5" xfId="174"/>
    <cellStyle name="Akcent 5 2" xfId="175"/>
    <cellStyle name="Akcent 5 3" xfId="176"/>
    <cellStyle name="Akcent 5 4" xfId="177"/>
    <cellStyle name="Akcent 5 5" xfId="178"/>
    <cellStyle name="Akcent 6" xfId="179"/>
    <cellStyle name="Akcent 6 2" xfId="180"/>
    <cellStyle name="Akcent 6 3" xfId="181"/>
    <cellStyle name="Akcent 6 4" xfId="182"/>
    <cellStyle name="Akcent 6 5" xfId="183"/>
    <cellStyle name="Akzent1" xfId="184"/>
    <cellStyle name="Akzent2" xfId="185"/>
    <cellStyle name="Akzent3" xfId="186"/>
    <cellStyle name="Akzent4" xfId="187"/>
    <cellStyle name="Akzent5" xfId="188"/>
    <cellStyle name="Akzent6" xfId="189"/>
    <cellStyle name="Ausgabe" xfId="190"/>
    <cellStyle name="Bad" xfId="191"/>
    <cellStyle name="Berechnung" xfId="192"/>
    <cellStyle name="Calculation" xfId="193"/>
    <cellStyle name="Check Cell" xfId="194"/>
    <cellStyle name="Dane wejściowe" xfId="195"/>
    <cellStyle name="Dane wejściowe 2" xfId="196"/>
    <cellStyle name="Dane wejściowe 3" xfId="197"/>
    <cellStyle name="Dane wejściowe 4" xfId="198"/>
    <cellStyle name="Dane wejściowe 5" xfId="199"/>
    <cellStyle name="Dane wyjściowe" xfId="200"/>
    <cellStyle name="Dane wyjściowe 2" xfId="201"/>
    <cellStyle name="Dane wyjściowe 3" xfId="202"/>
    <cellStyle name="Dane wyjściowe 4" xfId="203"/>
    <cellStyle name="Dane wyjściowe 5" xfId="204"/>
    <cellStyle name="Dobre" xfId="205"/>
    <cellStyle name="Dobre 2" xfId="206"/>
    <cellStyle name="Dobre 3" xfId="207"/>
    <cellStyle name="Dobre 4" xfId="208"/>
    <cellStyle name="Dobre 5" xfId="209"/>
    <cellStyle name="Dziesiętny 2" xfId="210"/>
    <cellStyle name="Eingabe" xfId="211"/>
    <cellStyle name="Ergebnis" xfId="212"/>
    <cellStyle name="Erklärender Text" xfId="213"/>
    <cellStyle name="Explanatory Text" xfId="214"/>
    <cellStyle name="Good" xfId="215"/>
    <cellStyle name="Gut" xfId="216"/>
    <cellStyle name="Heading 1" xfId="217"/>
    <cellStyle name="Heading 2" xfId="218"/>
    <cellStyle name="Heading 3" xfId="219"/>
    <cellStyle name="Heading 4" xfId="220"/>
    <cellStyle name="Input" xfId="221"/>
    <cellStyle name="Komórka połączona" xfId="222"/>
    <cellStyle name="Komórka połączona 2" xfId="223"/>
    <cellStyle name="Komórka połączona 3" xfId="224"/>
    <cellStyle name="Komórka połączona 4" xfId="225"/>
    <cellStyle name="Komórka połączona 5" xfId="226"/>
    <cellStyle name="Komórka zaznaczona" xfId="227"/>
    <cellStyle name="Komórka zaznaczona 2" xfId="228"/>
    <cellStyle name="Komórka zaznaczona 3" xfId="229"/>
    <cellStyle name="Komórka zaznaczona 4" xfId="230"/>
    <cellStyle name="Komórka zaznaczona 5" xfId="231"/>
    <cellStyle name="Linked Cell" xfId="232"/>
    <cellStyle name="Nagłówek 1" xfId="233"/>
    <cellStyle name="Nagłówek 1 2" xfId="234"/>
    <cellStyle name="Nagłówek 1 3" xfId="235"/>
    <cellStyle name="Nagłówek 1 4" xfId="236"/>
    <cellStyle name="Nagłówek 1 5" xfId="237"/>
    <cellStyle name="Nagłówek 2" xfId="238"/>
    <cellStyle name="Nagłówek 2 2" xfId="239"/>
    <cellStyle name="Nagłówek 2 3" xfId="240"/>
    <cellStyle name="Nagłówek 2 4" xfId="241"/>
    <cellStyle name="Nagłówek 2 5" xfId="242"/>
    <cellStyle name="Nagłówek 3" xfId="243"/>
    <cellStyle name="Nagłówek 3 2" xfId="244"/>
    <cellStyle name="Nagłówek 3 3" xfId="245"/>
    <cellStyle name="Nagłówek 3 4" xfId="246"/>
    <cellStyle name="Nagłówek 3 5" xfId="247"/>
    <cellStyle name="Nagłówek 4" xfId="248"/>
    <cellStyle name="Nagłówek 4 2" xfId="249"/>
    <cellStyle name="Nagłówek 4 3" xfId="250"/>
    <cellStyle name="Nagłówek 4 4" xfId="251"/>
    <cellStyle name="Nagłówek 4 5" xfId="252"/>
    <cellStyle name="Neutral" xfId="253"/>
    <cellStyle name="Neutral 2" xfId="254"/>
    <cellStyle name="Neutralne" xfId="255"/>
    <cellStyle name="Neutralne 2" xfId="256"/>
    <cellStyle name="Neutralne 3" xfId="257"/>
    <cellStyle name="Neutralne 4" xfId="258"/>
    <cellStyle name="Neutralne 5" xfId="259"/>
    <cellStyle name="Normal 2" xfId="260"/>
    <cellStyle name="Normal 2 2" xfId="261"/>
    <cellStyle name="Normal 2 2 2" xfId="262"/>
    <cellStyle name="Normal 2 3" xfId="263"/>
    <cellStyle name="Normal 3" xfId="264"/>
    <cellStyle name="Normal 3 2" xfId="265"/>
    <cellStyle name="Normal_Obiekt 12a" xfId="266"/>
    <cellStyle name="Normalny 2" xfId="267"/>
    <cellStyle name="Normalny 2 2" xfId="268"/>
    <cellStyle name="Normalny 2 3" xfId="269"/>
    <cellStyle name="Normalny 3" xfId="270"/>
    <cellStyle name="Normalny 4" xfId="271"/>
    <cellStyle name="Normalny 4 2" xfId="272"/>
    <cellStyle name="Normalny 5" xfId="273"/>
    <cellStyle name="Normalny 6" xfId="274"/>
    <cellStyle name="Normalny 7" xfId="275"/>
    <cellStyle name="Normalny_KOSZTORYS INWESTORSKI_DROGI" xfId="276"/>
    <cellStyle name="Normalny_KOSZTORYS INWESTORSKI_SZATA_ROSLINNA" xfId="277"/>
    <cellStyle name="Normalny_Spis specyfikacji" xfId="278"/>
    <cellStyle name="normální_laroux" xfId="279"/>
    <cellStyle name="Note" xfId="280"/>
    <cellStyle name="Notiz" xfId="281"/>
    <cellStyle name="Obliczenia" xfId="282"/>
    <cellStyle name="Obliczenia 2" xfId="283"/>
    <cellStyle name="Obliczenia 3" xfId="284"/>
    <cellStyle name="Obliczenia 4" xfId="285"/>
    <cellStyle name="Obliczenia 5" xfId="286"/>
    <cellStyle name="Output" xfId="287"/>
    <cellStyle name="Schlecht" xfId="288"/>
    <cellStyle name="Styl 1" xfId="289"/>
    <cellStyle name="Style 1" xfId="290"/>
    <cellStyle name="Suma" xfId="291"/>
    <cellStyle name="Suma 2" xfId="292"/>
    <cellStyle name="Suma 3" xfId="293"/>
    <cellStyle name="Suma 4" xfId="294"/>
    <cellStyle name="Suma 5" xfId="295"/>
    <cellStyle name="Tekst objaśnienia" xfId="296"/>
    <cellStyle name="Tekst objaśnienia 2" xfId="297"/>
    <cellStyle name="Tekst objaśnienia 3" xfId="298"/>
    <cellStyle name="Tekst objaśnienia 4" xfId="299"/>
    <cellStyle name="Tekst objaśnienia 5" xfId="300"/>
    <cellStyle name="Tekst ostrzeżenia" xfId="301"/>
    <cellStyle name="Tekst ostrzeżenia 2" xfId="302"/>
    <cellStyle name="Tekst ostrzeżenia 3" xfId="303"/>
    <cellStyle name="Tekst ostrzeżenia 4" xfId="304"/>
    <cellStyle name="Tekst ostrzeżenia 5" xfId="305"/>
    <cellStyle name="Title" xfId="306"/>
    <cellStyle name="Total" xfId="307"/>
    <cellStyle name="Tytuł" xfId="308"/>
    <cellStyle name="Tytuł 2" xfId="309"/>
    <cellStyle name="Tytuł 3" xfId="310"/>
    <cellStyle name="Tytuł 4" xfId="311"/>
    <cellStyle name="Tytuł 5" xfId="312"/>
    <cellStyle name="Tytuł 6" xfId="313"/>
    <cellStyle name="Uwaga" xfId="314"/>
    <cellStyle name="Uwaga 2" xfId="315"/>
    <cellStyle name="Uwaga 2 2" xfId="316"/>
    <cellStyle name="Uwaga 2 2 2" xfId="317"/>
    <cellStyle name="Uwaga 2 3" xfId="318"/>
    <cellStyle name="Uwaga 2 4" xfId="319"/>
    <cellStyle name="Uwaga 3" xfId="320"/>
    <cellStyle name="Uwaga 3 2" xfId="321"/>
    <cellStyle name="Uwaga 4" xfId="322"/>
    <cellStyle name="Uwaga 5" xfId="323"/>
    <cellStyle name="Uwaga 6" xfId="324"/>
    <cellStyle name="Uwaga 7" xfId="325"/>
    <cellStyle name="Verknüpfte Zelle" xfId="326"/>
    <cellStyle name="Walutowy 2" xfId="327"/>
    <cellStyle name="Walutowy 2 2" xfId="328"/>
    <cellStyle name="Walutowy 3" xfId="329"/>
    <cellStyle name="Warnender Text" xfId="330"/>
    <cellStyle name="Warning Text" xfId="331"/>
    <cellStyle name="Zelle überprüfen" xfId="332"/>
    <cellStyle name="Złe" xfId="333"/>
    <cellStyle name="Złe 2" xfId="334"/>
    <cellStyle name="Złe 3" xfId="335"/>
    <cellStyle name="Złe 4" xfId="336"/>
    <cellStyle name="Złe 5" xfId="337"/>
    <cellStyle name="Überschrift" xfId="338"/>
    <cellStyle name="Überschrift 1" xfId="339"/>
    <cellStyle name="Überschrift 2" xfId="340"/>
    <cellStyle name="Überschrift 3" xfId="341"/>
    <cellStyle name="Überschrift 4" xfId="3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32"/>
  <sheetViews>
    <sheetView view="pageBreakPreview" zoomScale="85" zoomScaleNormal="85" zoomScaleSheetLayoutView="85" workbookViewId="0" topLeftCell="A181">
      <selection activeCell="C193" sqref="C193"/>
    </sheetView>
  </sheetViews>
  <sheetFormatPr defaultColWidth="9.00390625" defaultRowHeight="12.75"/>
  <cols>
    <col min="1" max="1" width="4.75390625" style="1" customWidth="1"/>
    <col min="2" max="2" width="15.00390625" style="2" customWidth="1"/>
    <col min="3" max="3" width="42.125" style="3" customWidth="1"/>
    <col min="4" max="4" width="11.875" style="1" customWidth="1"/>
    <col min="5" max="5" width="15.375" style="4" customWidth="1"/>
    <col min="6" max="6" width="12.125" style="5" customWidth="1"/>
    <col min="7" max="7" width="9.125" style="1" customWidth="1"/>
    <col min="8" max="8" width="12.375" style="1" customWidth="1"/>
    <col min="9" max="9" width="13.875" style="1" customWidth="1"/>
    <col min="10" max="10" width="13.75390625" style="1" customWidth="1"/>
    <col min="11" max="75" width="16.75390625" style="1" customWidth="1"/>
    <col min="76" max="16384" width="9.125" style="1" customWidth="1"/>
  </cols>
  <sheetData>
    <row r="1" spans="1:61" s="12" customFormat="1" ht="15" customHeight="1">
      <c r="A1" s="6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10"/>
      <c r="H1" s="11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</row>
    <row r="2" spans="1:61" s="12" customFormat="1" ht="15" customHeight="1">
      <c r="A2" s="6"/>
      <c r="B2" s="7"/>
      <c r="C2" s="8"/>
      <c r="D2" s="8"/>
      <c r="E2" s="9"/>
      <c r="F2" s="9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</row>
    <row r="3" spans="1:6" s="12" customFormat="1" ht="15" customHeight="1">
      <c r="A3" s="13">
        <v>1</v>
      </c>
      <c r="B3" s="14">
        <f>1+A3</f>
        <v>2</v>
      </c>
      <c r="C3" s="14">
        <f>1+B3</f>
        <v>3</v>
      </c>
      <c r="D3" s="14">
        <f>1+C3</f>
        <v>4</v>
      </c>
      <c r="E3" s="15">
        <f>1+D3</f>
        <v>5</v>
      </c>
      <c r="F3" s="15">
        <f>1+E3</f>
        <v>6</v>
      </c>
    </row>
    <row r="4" spans="1:6" s="11" customFormat="1" ht="15" customHeight="1">
      <c r="A4" s="16"/>
      <c r="B4" s="17" t="s">
        <v>6</v>
      </c>
      <c r="C4" s="18" t="s">
        <v>7</v>
      </c>
      <c r="D4" s="19"/>
      <c r="E4" s="19"/>
      <c r="F4" s="20"/>
    </row>
    <row r="5" spans="1:8" s="11" customFormat="1" ht="15" customHeight="1">
      <c r="A5" s="21"/>
      <c r="B5" s="22" t="s">
        <v>8</v>
      </c>
      <c r="C5" s="23" t="s">
        <v>9</v>
      </c>
      <c r="D5" s="24"/>
      <c r="E5" s="24"/>
      <c r="F5" s="25"/>
      <c r="H5" s="26"/>
    </row>
    <row r="6" spans="1:6" s="11" customFormat="1" ht="15" customHeight="1">
      <c r="A6" s="27"/>
      <c r="B6" s="28" t="s">
        <v>10</v>
      </c>
      <c r="C6" s="23" t="s">
        <v>11</v>
      </c>
      <c r="D6" s="24"/>
      <c r="E6" s="24"/>
      <c r="F6" s="25"/>
    </row>
    <row r="7" spans="1:11" s="12" customFormat="1" ht="15" customHeight="1">
      <c r="A7" s="29">
        <v>1</v>
      </c>
      <c r="B7" s="29" t="s">
        <v>12</v>
      </c>
      <c r="C7" s="30" t="s">
        <v>13</v>
      </c>
      <c r="D7" s="31" t="s">
        <v>14</v>
      </c>
      <c r="E7" s="32">
        <v>1</v>
      </c>
      <c r="F7" s="33">
        <f>SUM(E7)</f>
        <v>1</v>
      </c>
      <c r="G7" s="34"/>
      <c r="H7" s="35"/>
      <c r="I7" s="35"/>
      <c r="J7" s="35"/>
      <c r="K7" s="36"/>
    </row>
    <row r="8" spans="1:11" s="12" customFormat="1" ht="15" customHeight="1">
      <c r="A8" s="21"/>
      <c r="B8" s="22" t="s">
        <v>15</v>
      </c>
      <c r="C8" s="23" t="s">
        <v>16</v>
      </c>
      <c r="D8" s="24"/>
      <c r="E8" s="24"/>
      <c r="F8" s="25"/>
      <c r="G8" s="37"/>
      <c r="K8" s="36"/>
    </row>
    <row r="9" spans="1:11" s="12" customFormat="1" ht="15" customHeight="1">
      <c r="A9" s="27"/>
      <c r="B9" s="22" t="s">
        <v>17</v>
      </c>
      <c r="C9" s="23" t="s">
        <v>18</v>
      </c>
      <c r="D9" s="24"/>
      <c r="E9" s="24"/>
      <c r="F9" s="25"/>
      <c r="G9" s="37"/>
      <c r="K9" s="36"/>
    </row>
    <row r="10" spans="1:11" s="12" customFormat="1" ht="15" customHeight="1">
      <c r="A10" s="29">
        <f>MAX($A$7:A9)+1</f>
        <v>2</v>
      </c>
      <c r="B10" s="29" t="s">
        <v>19</v>
      </c>
      <c r="C10" s="30" t="s">
        <v>20</v>
      </c>
      <c r="D10" s="38" t="s">
        <v>21</v>
      </c>
      <c r="E10" s="32"/>
      <c r="F10" s="39">
        <f>SUM(E11:E13)</f>
        <v>6.4</v>
      </c>
      <c r="G10" s="34"/>
      <c r="H10" s="35"/>
      <c r="I10" s="35"/>
      <c r="J10" s="35"/>
      <c r="K10" s="36"/>
    </row>
    <row r="11" spans="1:11" s="12" customFormat="1" ht="15" customHeight="1">
      <c r="A11" s="29"/>
      <c r="B11" s="29"/>
      <c r="C11" s="30" t="s">
        <v>22</v>
      </c>
      <c r="D11" s="38"/>
      <c r="E11" s="40">
        <f>ROUNDUP(2*11*0.18,1)</f>
        <v>4</v>
      </c>
      <c r="F11" s="39"/>
      <c r="G11" s="34"/>
      <c r="H11" s="35"/>
      <c r="I11" s="35"/>
      <c r="J11" s="35"/>
      <c r="K11" s="36"/>
    </row>
    <row r="12" spans="1:11" s="12" customFormat="1" ht="15" customHeight="1">
      <c r="A12" s="29"/>
      <c r="B12" s="29"/>
      <c r="C12" s="30" t="s">
        <v>23</v>
      </c>
      <c r="D12" s="38"/>
      <c r="E12" s="40">
        <f>ROUNDUP(4*3.1*0.13,1)</f>
        <v>1.7</v>
      </c>
      <c r="F12" s="39"/>
      <c r="G12" s="34"/>
      <c r="H12" s="35"/>
      <c r="I12" s="35"/>
      <c r="J12" s="35"/>
      <c r="K12" s="36"/>
    </row>
    <row r="13" spans="1:11" s="12" customFormat="1" ht="15" customHeight="1">
      <c r="A13" s="29"/>
      <c r="B13" s="29"/>
      <c r="C13" s="30" t="s">
        <v>24</v>
      </c>
      <c r="D13" s="38"/>
      <c r="E13" s="40">
        <f>ROUNDUP(11*0.061,1)</f>
        <v>0.7</v>
      </c>
      <c r="F13" s="39"/>
      <c r="G13" s="34"/>
      <c r="H13" s="35"/>
      <c r="I13" s="35"/>
      <c r="J13" s="35"/>
      <c r="K13" s="36"/>
    </row>
    <row r="14" spans="1:12" s="12" customFormat="1" ht="15" customHeight="1">
      <c r="A14" s="29">
        <f>MAX($A$7:A13)+1</f>
        <v>3</v>
      </c>
      <c r="B14" s="29" t="s">
        <v>25</v>
      </c>
      <c r="C14" s="30" t="s">
        <v>26</v>
      </c>
      <c r="D14" s="38" t="s">
        <v>27</v>
      </c>
      <c r="E14" s="40"/>
      <c r="F14" s="39">
        <f>SUM(E15:E15)</f>
        <v>34.5</v>
      </c>
      <c r="G14" s="34"/>
      <c r="H14" s="41"/>
      <c r="I14" s="42"/>
      <c r="J14" s="41"/>
      <c r="K14" s="43"/>
      <c r="L14" s="11"/>
    </row>
    <row r="15" spans="1:11" s="12" customFormat="1" ht="15" customHeight="1">
      <c r="A15" s="29"/>
      <c r="B15" s="29"/>
      <c r="C15" s="30" t="s">
        <v>28</v>
      </c>
      <c r="D15" s="38"/>
      <c r="E15" s="40">
        <f>ROUNDUP(2*17.24,1)</f>
        <v>34.5</v>
      </c>
      <c r="F15" s="39"/>
      <c r="G15" s="34"/>
      <c r="H15" s="35"/>
      <c r="I15" s="35"/>
      <c r="J15" s="35"/>
      <c r="K15" s="36"/>
    </row>
    <row r="16" spans="1:7" s="11" customFormat="1" ht="15" customHeight="1">
      <c r="A16" s="44"/>
      <c r="B16" s="44" t="s">
        <v>29</v>
      </c>
      <c r="C16" s="18" t="s">
        <v>30</v>
      </c>
      <c r="D16" s="19"/>
      <c r="E16" s="19"/>
      <c r="F16" s="20"/>
      <c r="G16" s="45"/>
    </row>
    <row r="17" spans="1:8" s="11" customFormat="1" ht="15" customHeight="1">
      <c r="A17" s="21"/>
      <c r="B17" s="22" t="s">
        <v>31</v>
      </c>
      <c r="C17" s="23" t="s">
        <v>32</v>
      </c>
      <c r="D17" s="24"/>
      <c r="E17" s="24"/>
      <c r="F17" s="25"/>
      <c r="G17" s="45"/>
      <c r="H17" s="46"/>
    </row>
    <row r="18" spans="1:8" s="11" customFormat="1" ht="15" customHeight="1">
      <c r="A18" s="27"/>
      <c r="B18" s="28" t="s">
        <v>33</v>
      </c>
      <c r="C18" s="23" t="s">
        <v>32</v>
      </c>
      <c r="D18" s="24"/>
      <c r="E18" s="24"/>
      <c r="F18" s="25"/>
      <c r="G18" s="45"/>
      <c r="H18" s="26"/>
    </row>
    <row r="19" spans="1:10" s="11" customFormat="1" ht="15" customHeight="1">
      <c r="A19" s="29">
        <f>MAX($A$7:A18)+1</f>
        <v>4</v>
      </c>
      <c r="B19" s="29" t="s">
        <v>34</v>
      </c>
      <c r="C19" s="30" t="s">
        <v>35</v>
      </c>
      <c r="D19" s="38" t="s">
        <v>21</v>
      </c>
      <c r="E19" s="47">
        <f>ROUNDUP(0.3*(13+14),1)</f>
        <v>8.1</v>
      </c>
      <c r="F19" s="39">
        <f>E19</f>
        <v>8.1</v>
      </c>
      <c r="G19" s="48"/>
      <c r="H19" s="49"/>
      <c r="I19" s="50"/>
      <c r="J19" s="50"/>
    </row>
    <row r="20" spans="1:10" s="11" customFormat="1" ht="30" customHeight="1">
      <c r="A20" s="29">
        <f>MAX($A$7:A19)+1</f>
        <v>5</v>
      </c>
      <c r="B20" s="29" t="s">
        <v>36</v>
      </c>
      <c r="C20" s="30" t="s">
        <v>37</v>
      </c>
      <c r="D20" s="38" t="s">
        <v>38</v>
      </c>
      <c r="E20" s="51"/>
      <c r="F20" s="52">
        <f>SUM(E21:E21)</f>
        <v>178.2</v>
      </c>
      <c r="G20" s="48"/>
      <c r="H20" s="49"/>
      <c r="I20" s="50"/>
      <c r="J20" s="50"/>
    </row>
    <row r="21" spans="1:10" s="11" customFormat="1" ht="15" customHeight="1">
      <c r="A21" s="29"/>
      <c r="B21" s="29"/>
      <c r="C21" s="30" t="s">
        <v>39</v>
      </c>
      <c r="D21" s="38"/>
      <c r="E21" s="40">
        <f>ROUNDUP(E19*22,1)</f>
        <v>178.2</v>
      </c>
      <c r="F21" s="52"/>
      <c r="G21" s="48"/>
      <c r="H21" s="49"/>
      <c r="I21" s="50"/>
      <c r="J21" s="50"/>
    </row>
    <row r="22" spans="1:8" s="11" customFormat="1" ht="15" customHeight="1">
      <c r="A22" s="21"/>
      <c r="B22" s="22" t="s">
        <v>40</v>
      </c>
      <c r="C22" s="23" t="s">
        <v>41</v>
      </c>
      <c r="D22" s="24"/>
      <c r="E22" s="24"/>
      <c r="F22" s="25"/>
      <c r="G22" s="45"/>
      <c r="H22" s="26"/>
    </row>
    <row r="23" spans="1:8" s="55" customFormat="1" ht="12.75">
      <c r="A23" s="21"/>
      <c r="B23" s="22" t="s">
        <v>42</v>
      </c>
      <c r="C23" s="23" t="s">
        <v>43</v>
      </c>
      <c r="D23" s="24"/>
      <c r="E23" s="24"/>
      <c r="F23" s="53"/>
      <c r="G23" s="54"/>
      <c r="H23" s="36"/>
    </row>
    <row r="24" spans="1:11" s="55" customFormat="1" ht="15" customHeight="1">
      <c r="A24" s="29">
        <f>MAX($A$7:A23)+1</f>
        <v>6</v>
      </c>
      <c r="B24" s="29" t="s">
        <v>44</v>
      </c>
      <c r="C24" s="30" t="s">
        <v>45</v>
      </c>
      <c r="D24" s="31" t="s">
        <v>21</v>
      </c>
      <c r="E24" s="47"/>
      <c r="F24" s="39">
        <f>SUM(E25:E26)</f>
        <v>481.5</v>
      </c>
      <c r="G24" s="56"/>
      <c r="H24" s="57"/>
      <c r="I24" s="35"/>
      <c r="J24" s="35"/>
      <c r="K24" s="35"/>
    </row>
    <row r="25" spans="1:11" s="55" customFormat="1" ht="12.75">
      <c r="A25" s="29"/>
      <c r="B25" s="29"/>
      <c r="C25" s="30" t="s">
        <v>46</v>
      </c>
      <c r="D25" s="31"/>
      <c r="E25" s="47">
        <f>ROUNDUP((18+0.5)*7.35*2*1.1,1)</f>
        <v>299.2</v>
      </c>
      <c r="F25" s="39"/>
      <c r="G25" s="56"/>
      <c r="H25" s="57"/>
      <c r="I25" s="35"/>
      <c r="J25" s="35"/>
      <c r="K25" s="35"/>
    </row>
    <row r="26" spans="1:11" s="55" customFormat="1" ht="12.75">
      <c r="A26" s="29"/>
      <c r="B26" s="29"/>
      <c r="C26" s="30" t="s">
        <v>47</v>
      </c>
      <c r="D26" s="31"/>
      <c r="E26" s="47">
        <f>ROUNDUP((21*(2.514+4.532+3.949+4.782)/2)*1.1,1)</f>
        <v>182.3</v>
      </c>
      <c r="F26" s="39"/>
      <c r="G26" s="56"/>
      <c r="H26" s="57"/>
      <c r="I26" s="35"/>
      <c r="J26" s="35"/>
      <c r="K26" s="35"/>
    </row>
    <row r="27" spans="1:8" s="55" customFormat="1" ht="12.75">
      <c r="A27" s="21"/>
      <c r="B27" s="22" t="s">
        <v>48</v>
      </c>
      <c r="C27" s="23" t="s">
        <v>49</v>
      </c>
      <c r="D27" s="24"/>
      <c r="E27" s="24"/>
      <c r="F27" s="53"/>
      <c r="G27" s="54"/>
      <c r="H27" s="36"/>
    </row>
    <row r="28" spans="1:11" s="55" customFormat="1" ht="26.25" customHeight="1">
      <c r="A28" s="29">
        <f>MAX($A$7:A27)+1</f>
        <v>7</v>
      </c>
      <c r="B28" s="29" t="s">
        <v>50</v>
      </c>
      <c r="C28" s="30" t="s">
        <v>51</v>
      </c>
      <c r="D28" s="31" t="s">
        <v>52</v>
      </c>
      <c r="E28" s="47"/>
      <c r="F28" s="52">
        <f>SUM(E29:E29)</f>
        <v>355</v>
      </c>
      <c r="G28" s="56"/>
      <c r="H28" s="57"/>
      <c r="I28" s="35"/>
      <c r="J28" s="35"/>
      <c r="K28" s="35"/>
    </row>
    <row r="29" spans="1:11" s="55" customFormat="1" ht="12.75">
      <c r="A29" s="29"/>
      <c r="B29" s="29"/>
      <c r="C29" s="30" t="s">
        <v>53</v>
      </c>
      <c r="D29" s="31"/>
      <c r="E29" s="47">
        <f>ROUNDUP(5*(39+32),1)</f>
        <v>355</v>
      </c>
      <c r="F29" s="52"/>
      <c r="G29" s="56"/>
      <c r="H29" s="57"/>
      <c r="I29" s="35"/>
      <c r="J29" s="35"/>
      <c r="K29" s="35"/>
    </row>
    <row r="30" spans="1:11" s="55" customFormat="1" ht="22.5" customHeight="1">
      <c r="A30" s="29">
        <f>MAX($A$7:A29)+1</f>
        <v>8</v>
      </c>
      <c r="B30" s="29" t="s">
        <v>54</v>
      </c>
      <c r="C30" s="30" t="s">
        <v>55</v>
      </c>
      <c r="D30" s="31" t="s">
        <v>52</v>
      </c>
      <c r="E30" s="47"/>
      <c r="F30" s="52">
        <f>SUM(E31:E31)</f>
        <v>355</v>
      </c>
      <c r="G30" s="56"/>
      <c r="H30" s="57"/>
      <c r="I30" s="35"/>
      <c r="J30" s="35"/>
      <c r="K30" s="35"/>
    </row>
    <row r="31" spans="1:11" s="55" customFormat="1" ht="12.75">
      <c r="A31" s="29"/>
      <c r="B31" s="29"/>
      <c r="C31" s="30" t="s">
        <v>53</v>
      </c>
      <c r="D31" s="31"/>
      <c r="E31" s="47">
        <f>E29</f>
        <v>355</v>
      </c>
      <c r="F31" s="52"/>
      <c r="G31" s="56"/>
      <c r="H31" s="57"/>
      <c r="I31" s="35"/>
      <c r="J31" s="35"/>
      <c r="K31" s="35"/>
    </row>
    <row r="32" spans="1:7" s="11" customFormat="1" ht="15" customHeight="1">
      <c r="A32" s="44"/>
      <c r="B32" s="44" t="s">
        <v>56</v>
      </c>
      <c r="C32" s="18" t="s">
        <v>57</v>
      </c>
      <c r="D32" s="19"/>
      <c r="E32" s="19"/>
      <c r="F32" s="20"/>
      <c r="G32" s="45"/>
    </row>
    <row r="33" spans="1:8" ht="15" customHeight="1">
      <c r="A33" s="58"/>
      <c r="B33" s="21" t="s">
        <v>58</v>
      </c>
      <c r="C33" s="59" t="s">
        <v>59</v>
      </c>
      <c r="D33" s="60"/>
      <c r="E33" s="60"/>
      <c r="F33" s="61"/>
      <c r="G33" s="62"/>
      <c r="H33" s="26"/>
    </row>
    <row r="34" spans="1:8" ht="15" customHeight="1">
      <c r="A34" s="63"/>
      <c r="B34" s="27" t="s">
        <v>60</v>
      </c>
      <c r="C34" s="59" t="s">
        <v>61</v>
      </c>
      <c r="D34" s="60"/>
      <c r="E34" s="60"/>
      <c r="F34" s="61"/>
      <c r="G34" s="62"/>
      <c r="H34" s="46"/>
    </row>
    <row r="35" spans="1:9" s="67" customFormat="1" ht="30" customHeight="1">
      <c r="A35" s="29">
        <f>MAX($A$7:A34)+1</f>
        <v>9</v>
      </c>
      <c r="B35" s="64" t="s">
        <v>62</v>
      </c>
      <c r="C35" s="30" t="s">
        <v>63</v>
      </c>
      <c r="D35" s="31" t="s">
        <v>21</v>
      </c>
      <c r="E35" s="47"/>
      <c r="F35" s="39">
        <f>SUM(E36:E38)</f>
        <v>3.8000000000000003</v>
      </c>
      <c r="G35" s="65"/>
      <c r="H35" s="66"/>
      <c r="I35" s="66"/>
    </row>
    <row r="36" spans="1:9" s="55" customFormat="1" ht="15" customHeight="1">
      <c r="A36" s="29"/>
      <c r="B36" s="64"/>
      <c r="C36" s="30" t="s">
        <v>64</v>
      </c>
      <c r="D36" s="31"/>
      <c r="E36" s="47">
        <v>0.2</v>
      </c>
      <c r="F36" s="39"/>
      <c r="G36" s="56"/>
      <c r="H36" s="57"/>
      <c r="I36" s="35"/>
    </row>
    <row r="37" spans="1:9" s="55" customFormat="1" ht="15" customHeight="1">
      <c r="A37" s="29"/>
      <c r="B37" s="64"/>
      <c r="C37" s="30" t="s">
        <v>65</v>
      </c>
      <c r="D37" s="31"/>
      <c r="E37" s="47">
        <v>0.2</v>
      </c>
      <c r="F37" s="39"/>
      <c r="G37" s="56"/>
      <c r="H37" s="57"/>
      <c r="I37" s="35"/>
    </row>
    <row r="38" spans="1:9" s="55" customFormat="1" ht="15" customHeight="1">
      <c r="A38" s="29"/>
      <c r="B38" s="64"/>
      <c r="C38" s="30" t="s">
        <v>66</v>
      </c>
      <c r="D38" s="31"/>
      <c r="E38" s="47">
        <f>2*1.7</f>
        <v>3.4</v>
      </c>
      <c r="F38" s="39"/>
      <c r="G38" s="56"/>
      <c r="H38" s="57"/>
      <c r="I38" s="35"/>
    </row>
    <row r="39" spans="1:9" ht="45" customHeight="1">
      <c r="A39" s="29">
        <f>MAX($A$7:A35)+1</f>
        <v>10</v>
      </c>
      <c r="B39" s="29" t="s">
        <v>67</v>
      </c>
      <c r="C39" s="30" t="s">
        <v>68</v>
      </c>
      <c r="D39" s="31" t="s">
        <v>69</v>
      </c>
      <c r="E39" s="47"/>
      <c r="F39" s="33">
        <f>SUM(E40:E41)</f>
        <v>128</v>
      </c>
      <c r="G39" s="65"/>
      <c r="H39" s="66"/>
      <c r="I39" s="66"/>
    </row>
    <row r="40" spans="1:9" ht="15" customHeight="1">
      <c r="A40" s="29"/>
      <c r="B40" s="29"/>
      <c r="C40" s="30" t="s">
        <v>70</v>
      </c>
      <c r="D40" s="31"/>
      <c r="E40" s="51">
        <f>2*32</f>
        <v>64</v>
      </c>
      <c r="F40" s="33"/>
      <c r="G40" s="65"/>
      <c r="H40" s="66"/>
      <c r="I40" s="66"/>
    </row>
    <row r="41" spans="1:9" ht="15" customHeight="1">
      <c r="A41" s="29"/>
      <c r="B41" s="29"/>
      <c r="C41" s="30" t="s">
        <v>71</v>
      </c>
      <c r="D41" s="31"/>
      <c r="E41" s="51">
        <f>2*32</f>
        <v>64</v>
      </c>
      <c r="F41" s="33"/>
      <c r="G41" s="65"/>
      <c r="H41" s="66"/>
      <c r="I41" s="66"/>
    </row>
    <row r="42" spans="1:9" ht="45" customHeight="1">
      <c r="A42" s="29">
        <f>MAX($A$7:A41)+1</f>
        <v>11</v>
      </c>
      <c r="B42" s="29" t="s">
        <v>72</v>
      </c>
      <c r="C42" s="30" t="s">
        <v>73</v>
      </c>
      <c r="D42" s="31" t="s">
        <v>69</v>
      </c>
      <c r="E42" s="47"/>
      <c r="F42" s="33">
        <f>SUM(E43:E46)</f>
        <v>264</v>
      </c>
      <c r="G42" s="65"/>
      <c r="H42" s="66"/>
      <c r="I42" s="66"/>
    </row>
    <row r="43" spans="1:9" ht="30" customHeight="1">
      <c r="A43" s="29"/>
      <c r="B43" s="29"/>
      <c r="C43" s="30" t="s">
        <v>74</v>
      </c>
      <c r="D43" s="31"/>
      <c r="E43" s="51">
        <f>45*2</f>
        <v>90</v>
      </c>
      <c r="F43" s="33"/>
      <c r="G43" s="65"/>
      <c r="H43" s="66"/>
      <c r="I43" s="66"/>
    </row>
    <row r="44" spans="1:9" ht="30" customHeight="1">
      <c r="A44" s="29"/>
      <c r="B44" s="29"/>
      <c r="C44" s="30" t="s">
        <v>75</v>
      </c>
      <c r="D44" s="31"/>
      <c r="E44" s="51">
        <f>21*2</f>
        <v>42</v>
      </c>
      <c r="F44" s="33"/>
      <c r="G44" s="65"/>
      <c r="H44" s="66"/>
      <c r="I44" s="66"/>
    </row>
    <row r="45" spans="1:9" ht="30" customHeight="1">
      <c r="A45" s="29"/>
      <c r="B45" s="29"/>
      <c r="C45" s="30" t="s">
        <v>76</v>
      </c>
      <c r="D45" s="31"/>
      <c r="E45" s="51">
        <f>45*2</f>
        <v>90</v>
      </c>
      <c r="F45" s="33"/>
      <c r="G45" s="65"/>
      <c r="H45" s="66"/>
      <c r="I45" s="66"/>
    </row>
    <row r="46" spans="1:9" ht="30" customHeight="1">
      <c r="A46" s="29"/>
      <c r="B46" s="29"/>
      <c r="C46" s="30" t="s">
        <v>77</v>
      </c>
      <c r="D46" s="31"/>
      <c r="E46" s="51">
        <f>21*2</f>
        <v>42</v>
      </c>
      <c r="F46" s="33"/>
      <c r="G46" s="65"/>
      <c r="H46" s="66"/>
      <c r="I46" s="66"/>
    </row>
    <row r="47" spans="1:9" ht="15" customHeight="1">
      <c r="A47" s="29">
        <f>MAX($A$7:A46)+1</f>
        <v>12</v>
      </c>
      <c r="B47" s="29" t="s">
        <v>78</v>
      </c>
      <c r="C47" s="30" t="s">
        <v>79</v>
      </c>
      <c r="D47" s="31" t="s">
        <v>52</v>
      </c>
      <c r="E47" s="47"/>
      <c r="F47" s="39">
        <f>SUM(E48:E49)</f>
        <v>38.3</v>
      </c>
      <c r="G47" s="65"/>
      <c r="H47" s="66"/>
      <c r="I47" s="66"/>
    </row>
    <row r="48" spans="1:9" ht="15" customHeight="1">
      <c r="A48" s="29"/>
      <c r="B48" s="29"/>
      <c r="C48" s="30" t="s">
        <v>80</v>
      </c>
      <c r="D48" s="31"/>
      <c r="E48" s="47">
        <f>ROUNDUP((0.3*(7.35-2*0.3)*1.1)+((0.95*6.75)*1.1)+((2.35*7.35+4.71*2+0.11*3.1*2)*1.1)*0.35,1)</f>
        <v>19.9</v>
      </c>
      <c r="F48" s="39"/>
      <c r="G48" s="65"/>
      <c r="H48" s="66"/>
      <c r="I48" s="66"/>
    </row>
    <row r="49" spans="1:9" ht="15" customHeight="1">
      <c r="A49" s="29"/>
      <c r="B49" s="29"/>
      <c r="C49" s="30" t="s">
        <v>81</v>
      </c>
      <c r="D49" s="31"/>
      <c r="E49" s="47">
        <f>ROUNDUP((0.3*(7.35-2*0.3)*1.1)+((0.95*6.75)*1.1)+((2.35*7.35+4.71*2+0.11*3.1*2)*1.1)*0.3,1)</f>
        <v>18.4</v>
      </c>
      <c r="F49" s="39"/>
      <c r="G49" s="65"/>
      <c r="H49" s="66"/>
      <c r="I49" s="66"/>
    </row>
    <row r="50" spans="1:9" ht="30" customHeight="1">
      <c r="A50" s="29">
        <f>MAX($A$7:A49)+1</f>
        <v>13</v>
      </c>
      <c r="B50" s="29" t="s">
        <v>82</v>
      </c>
      <c r="C50" s="68" t="s">
        <v>83</v>
      </c>
      <c r="D50" s="31" t="s">
        <v>69</v>
      </c>
      <c r="E50" s="51">
        <v>1</v>
      </c>
      <c r="F50" s="33">
        <f>E50</f>
        <v>1</v>
      </c>
      <c r="G50" s="65"/>
      <c r="H50" s="66"/>
      <c r="I50" s="66"/>
    </row>
    <row r="51" spans="1:9" ht="15" customHeight="1">
      <c r="A51" s="29">
        <f>MAX($A$7:A50)+1</f>
        <v>14</v>
      </c>
      <c r="B51" s="29" t="s">
        <v>84</v>
      </c>
      <c r="C51" s="30" t="s">
        <v>85</v>
      </c>
      <c r="D51" s="31" t="s">
        <v>69</v>
      </c>
      <c r="E51" s="47"/>
      <c r="F51" s="33">
        <f>SUM(E52:E53)</f>
        <v>8</v>
      </c>
      <c r="G51" s="65"/>
      <c r="H51" s="66"/>
      <c r="I51" s="66"/>
    </row>
    <row r="52" spans="1:9" ht="15" customHeight="1">
      <c r="A52" s="29"/>
      <c r="B52" s="29"/>
      <c r="C52" s="30" t="s">
        <v>80</v>
      </c>
      <c r="D52" s="31"/>
      <c r="E52" s="51">
        <v>4</v>
      </c>
      <c r="F52" s="33"/>
      <c r="G52" s="65"/>
      <c r="H52" s="66"/>
      <c r="I52" s="66"/>
    </row>
    <row r="53" spans="1:9" ht="15" customHeight="1">
      <c r="A53" s="29"/>
      <c r="B53" s="29"/>
      <c r="C53" s="30" t="s">
        <v>81</v>
      </c>
      <c r="D53" s="31"/>
      <c r="E53" s="51">
        <v>4</v>
      </c>
      <c r="F53" s="33"/>
      <c r="G53" s="65"/>
      <c r="H53" s="66"/>
      <c r="I53" s="66"/>
    </row>
    <row r="54" spans="1:9" s="67" customFormat="1" ht="39" customHeight="1">
      <c r="A54" s="29">
        <f>MAX($A$7:A53)+1</f>
        <v>15</v>
      </c>
      <c r="B54" s="29" t="s">
        <v>86</v>
      </c>
      <c r="C54" s="30" t="s">
        <v>87</v>
      </c>
      <c r="D54" s="31" t="s">
        <v>38</v>
      </c>
      <c r="E54" s="47"/>
      <c r="F54" s="39">
        <f>SUM(E55:E57)</f>
        <v>1166</v>
      </c>
      <c r="G54" s="65"/>
      <c r="H54" s="66"/>
      <c r="I54" s="66"/>
    </row>
    <row r="55" spans="1:9" s="67" customFormat="1" ht="15" customHeight="1">
      <c r="A55" s="29"/>
      <c r="B55" s="29"/>
      <c r="C55" s="30" t="s">
        <v>80</v>
      </c>
      <c r="D55" s="31"/>
      <c r="E55" s="47">
        <v>29</v>
      </c>
      <c r="F55" s="39"/>
      <c r="G55" s="65"/>
      <c r="H55" s="66"/>
      <c r="I55" s="66"/>
    </row>
    <row r="56" spans="1:9" s="67" customFormat="1" ht="15" customHeight="1">
      <c r="A56" s="29"/>
      <c r="B56" s="29"/>
      <c r="C56" s="30" t="s">
        <v>81</v>
      </c>
      <c r="D56" s="31"/>
      <c r="E56" s="47">
        <v>29</v>
      </c>
      <c r="F56" s="39"/>
      <c r="G56" s="65"/>
      <c r="H56" s="66"/>
      <c r="I56" s="66"/>
    </row>
    <row r="57" spans="1:9" s="67" customFormat="1" ht="15" customHeight="1">
      <c r="A57" s="29"/>
      <c r="B57" s="29"/>
      <c r="C57" s="30" t="s">
        <v>66</v>
      </c>
      <c r="D57" s="31"/>
      <c r="E57" s="47">
        <f>2*554</f>
        <v>1108</v>
      </c>
      <c r="F57" s="39"/>
      <c r="G57" s="65"/>
      <c r="H57" s="66"/>
      <c r="I57" s="66"/>
    </row>
    <row r="58" spans="1:8" s="11" customFormat="1" ht="15" customHeight="1">
      <c r="A58" s="21"/>
      <c r="B58" s="22" t="s">
        <v>88</v>
      </c>
      <c r="C58" s="23" t="s">
        <v>89</v>
      </c>
      <c r="D58" s="24"/>
      <c r="E58" s="24"/>
      <c r="F58" s="25"/>
      <c r="G58" s="45"/>
      <c r="H58" s="46"/>
    </row>
    <row r="59" spans="1:8" s="11" customFormat="1" ht="15" customHeight="1">
      <c r="A59" s="27"/>
      <c r="B59" s="28" t="s">
        <v>90</v>
      </c>
      <c r="C59" s="69" t="s">
        <v>91</v>
      </c>
      <c r="D59" s="70"/>
      <c r="E59" s="70"/>
      <c r="F59" s="71"/>
      <c r="G59" s="45"/>
      <c r="H59" s="46"/>
    </row>
    <row r="60" spans="1:8" s="11" customFormat="1" ht="15" customHeight="1">
      <c r="A60" s="27"/>
      <c r="B60" s="28"/>
      <c r="C60" s="72" t="s">
        <v>92</v>
      </c>
      <c r="D60" s="73"/>
      <c r="E60" s="73"/>
      <c r="F60" s="74"/>
      <c r="G60" s="45"/>
      <c r="H60" s="26"/>
    </row>
    <row r="61" spans="1:9" s="55" customFormat="1" ht="46.5" customHeight="1">
      <c r="A61" s="64">
        <f>MAX($A$7:A60)+1</f>
        <v>16</v>
      </c>
      <c r="B61" s="64" t="s">
        <v>93</v>
      </c>
      <c r="C61" s="30" t="s">
        <v>94</v>
      </c>
      <c r="D61" s="75" t="s">
        <v>21</v>
      </c>
      <c r="E61" s="47"/>
      <c r="F61" s="39">
        <f>SUM(E62:E63)</f>
        <v>0.8</v>
      </c>
      <c r="G61" s="56"/>
      <c r="H61" s="57"/>
      <c r="I61" s="35"/>
    </row>
    <row r="62" spans="1:9" s="55" customFormat="1" ht="12.75">
      <c r="A62" s="64"/>
      <c r="B62" s="64"/>
      <c r="C62" s="30" t="s">
        <v>80</v>
      </c>
      <c r="D62" s="75"/>
      <c r="E62" s="47">
        <f>ROUNDUP(((2.35*7.35+4.71*2+0.11*3.1*2)*1.1)*0.01,1)</f>
        <v>0.4</v>
      </c>
      <c r="F62" s="39"/>
      <c r="G62" s="56"/>
      <c r="H62" s="57"/>
      <c r="I62" s="35"/>
    </row>
    <row r="63" spans="1:9" s="55" customFormat="1" ht="12.75">
      <c r="A63" s="64"/>
      <c r="B63" s="64"/>
      <c r="C63" s="30" t="s">
        <v>81</v>
      </c>
      <c r="D63" s="75"/>
      <c r="E63" s="47">
        <f>ROUNDUP(((2.35*7.35+4.71*2+0.11*3.1*2)*1.1)*0.01,1)</f>
        <v>0.4</v>
      </c>
      <c r="F63" s="39"/>
      <c r="G63" s="56"/>
      <c r="H63" s="57"/>
      <c r="I63" s="35"/>
    </row>
    <row r="64" spans="1:9" s="55" customFormat="1" ht="46.5" customHeight="1">
      <c r="A64" s="64">
        <f>MAX($A$7:A63)+1</f>
        <v>17</v>
      </c>
      <c r="B64" s="64" t="s">
        <v>95</v>
      </c>
      <c r="C64" s="30" t="s">
        <v>96</v>
      </c>
      <c r="D64" s="75" t="s">
        <v>21</v>
      </c>
      <c r="E64" s="47"/>
      <c r="F64" s="39">
        <f>SUM(E65:E66)</f>
        <v>2.6</v>
      </c>
      <c r="G64" s="56"/>
      <c r="H64" s="57"/>
      <c r="I64" s="35"/>
    </row>
    <row r="65" spans="1:9" s="55" customFormat="1" ht="15">
      <c r="A65" s="64"/>
      <c r="B65" s="64"/>
      <c r="C65" s="30" t="s">
        <v>80</v>
      </c>
      <c r="D65" s="75"/>
      <c r="E65" s="47">
        <f>ROUNDUP(((2.35*7.35+4.71*2+0.11*3.1*2)*1.1)*0.04,1)</f>
        <v>1.3</v>
      </c>
      <c r="F65" s="39"/>
      <c r="G65" s="56"/>
      <c r="H65" s="57"/>
      <c r="I65" s="35"/>
    </row>
    <row r="66" spans="1:9" s="55" customFormat="1" ht="15">
      <c r="A66" s="64"/>
      <c r="B66" s="64"/>
      <c r="C66" s="30" t="s">
        <v>81</v>
      </c>
      <c r="D66" s="75"/>
      <c r="E66" s="47">
        <f>ROUNDUP(((2.35*7.35+4.71*2+0.11*3.1*2)*1.1)*0.04,1)</f>
        <v>1.3</v>
      </c>
      <c r="F66" s="39"/>
      <c r="G66" s="56"/>
      <c r="H66" s="57"/>
      <c r="I66" s="35"/>
    </row>
    <row r="67" spans="1:8" s="55" customFormat="1" ht="15">
      <c r="A67" s="27"/>
      <c r="B67" s="28" t="s">
        <v>97</v>
      </c>
      <c r="C67" s="69" t="s">
        <v>98</v>
      </c>
      <c r="D67" s="70"/>
      <c r="E67" s="70"/>
      <c r="F67" s="76"/>
      <c r="G67" s="54"/>
      <c r="H67" s="46"/>
    </row>
    <row r="68" spans="1:8" s="55" customFormat="1" ht="15">
      <c r="A68" s="27"/>
      <c r="B68" s="28"/>
      <c r="C68" s="72" t="s">
        <v>99</v>
      </c>
      <c r="D68" s="73"/>
      <c r="E68" s="73"/>
      <c r="F68" s="77"/>
      <c r="G68" s="54"/>
      <c r="H68" s="36"/>
    </row>
    <row r="69" spans="1:10" s="55" customFormat="1" ht="15" customHeight="1">
      <c r="A69" s="29">
        <f>MAX($A$7:A67)+1</f>
        <v>18</v>
      </c>
      <c r="B69" s="29" t="s">
        <v>100</v>
      </c>
      <c r="C69" s="30" t="s">
        <v>101</v>
      </c>
      <c r="D69" s="31" t="s">
        <v>102</v>
      </c>
      <c r="E69" s="47"/>
      <c r="F69" s="52">
        <f>SUM(E70:E70)</f>
        <v>84.4</v>
      </c>
      <c r="G69" s="56"/>
      <c r="H69" s="57"/>
      <c r="I69" s="35"/>
      <c r="J69" s="35"/>
    </row>
    <row r="70" spans="1:10" s="55" customFormat="1" ht="15" customHeight="1">
      <c r="A70" s="29"/>
      <c r="B70" s="29"/>
      <c r="C70" s="30" t="s">
        <v>103</v>
      </c>
      <c r="D70" s="31"/>
      <c r="E70" s="47">
        <f>F71</f>
        <v>84.4</v>
      </c>
      <c r="F70" s="52"/>
      <c r="G70" s="56"/>
      <c r="H70" s="57"/>
      <c r="I70" s="35"/>
      <c r="J70" s="35"/>
    </row>
    <row r="71" spans="1:10" s="55" customFormat="1" ht="45" customHeight="1">
      <c r="A71" s="29">
        <f>MAX($A$7:A70)+1</f>
        <v>19</v>
      </c>
      <c r="B71" s="29" t="s">
        <v>104</v>
      </c>
      <c r="C71" s="30" t="s">
        <v>105</v>
      </c>
      <c r="D71" s="31" t="s">
        <v>102</v>
      </c>
      <c r="E71" s="47"/>
      <c r="F71" s="39">
        <f>SUM(E72:E73)</f>
        <v>84.4</v>
      </c>
      <c r="G71" s="56"/>
      <c r="H71" s="57"/>
      <c r="I71" s="35"/>
      <c r="J71" s="35"/>
    </row>
    <row r="72" spans="1:10" s="55" customFormat="1" ht="15">
      <c r="A72" s="29"/>
      <c r="B72" s="29"/>
      <c r="C72" s="30" t="s">
        <v>80</v>
      </c>
      <c r="D72" s="31"/>
      <c r="E72" s="47">
        <f>ROUNDUP(((2.35*7.35+4.71*2+0.11*3.1*2)*1.1*0.7)*0.002*1000,1)</f>
        <v>42.2</v>
      </c>
      <c r="F72" s="39"/>
      <c r="G72" s="56"/>
      <c r="H72" s="57"/>
      <c r="I72" s="35"/>
      <c r="J72" s="35"/>
    </row>
    <row r="73" spans="1:10" s="55" customFormat="1" ht="15">
      <c r="A73" s="29"/>
      <c r="B73" s="29"/>
      <c r="C73" s="30" t="s">
        <v>81</v>
      </c>
      <c r="D73" s="31"/>
      <c r="E73" s="47">
        <f>ROUNDUP(((2.35*7.35+4.71*2+0.11*3.1*2)*1.1*0.7)*0.002*1000,1)</f>
        <v>42.2</v>
      </c>
      <c r="F73" s="39"/>
      <c r="G73" s="56"/>
      <c r="H73" s="57"/>
      <c r="I73" s="35"/>
      <c r="J73" s="35"/>
    </row>
    <row r="74" spans="1:7" s="43" customFormat="1" ht="15" customHeight="1">
      <c r="A74" s="44"/>
      <c r="B74" s="44" t="s">
        <v>106</v>
      </c>
      <c r="C74" s="18" t="s">
        <v>107</v>
      </c>
      <c r="D74" s="19"/>
      <c r="E74" s="19"/>
      <c r="F74" s="20"/>
      <c r="G74" s="78"/>
    </row>
    <row r="75" spans="1:7" s="11" customFormat="1" ht="15" customHeight="1">
      <c r="A75" s="21"/>
      <c r="B75" s="22" t="s">
        <v>108</v>
      </c>
      <c r="C75" s="23" t="s">
        <v>109</v>
      </c>
      <c r="D75" s="24"/>
      <c r="E75" s="24"/>
      <c r="F75" s="25"/>
      <c r="G75" s="45"/>
    </row>
    <row r="76" spans="1:8" s="11" customFormat="1" ht="15" customHeight="1">
      <c r="A76" s="79"/>
      <c r="B76" s="22" t="s">
        <v>110</v>
      </c>
      <c r="C76" s="69" t="s">
        <v>111</v>
      </c>
      <c r="D76" s="70"/>
      <c r="E76" s="70"/>
      <c r="F76" s="71"/>
      <c r="G76" s="45"/>
      <c r="H76" s="46"/>
    </row>
    <row r="77" spans="1:11" ht="45" customHeight="1">
      <c r="A77" s="29">
        <f>MAX($A$7:A76)+1</f>
        <v>20</v>
      </c>
      <c r="B77" s="29" t="s">
        <v>112</v>
      </c>
      <c r="C77" s="68" t="s">
        <v>113</v>
      </c>
      <c r="D77" s="31" t="s">
        <v>21</v>
      </c>
      <c r="E77" s="47"/>
      <c r="F77" s="52">
        <f>E78</f>
        <v>7.2</v>
      </c>
      <c r="G77" s="65"/>
      <c r="H77" s="66"/>
      <c r="I77" s="66"/>
      <c r="J77" s="66"/>
      <c r="K77" s="66"/>
    </row>
    <row r="78" spans="1:11" ht="15" customHeight="1">
      <c r="A78" s="29"/>
      <c r="B78" s="29"/>
      <c r="C78" s="30" t="s">
        <v>114</v>
      </c>
      <c r="D78" s="31"/>
      <c r="E78" s="47">
        <v>7.2</v>
      </c>
      <c r="F78" s="52"/>
      <c r="G78" s="65"/>
      <c r="H78" s="66"/>
      <c r="I78" s="66"/>
      <c r="J78" s="66"/>
      <c r="K78" s="66"/>
    </row>
    <row r="79" spans="1:11" ht="45" customHeight="1">
      <c r="A79" s="29">
        <f>MAX($A$7:A78)+1</f>
        <v>21</v>
      </c>
      <c r="B79" s="64" t="s">
        <v>115</v>
      </c>
      <c r="C79" s="30" t="s">
        <v>116</v>
      </c>
      <c r="D79" s="31" t="s">
        <v>69</v>
      </c>
      <c r="E79" s="47"/>
      <c r="F79" s="33">
        <f>SUM(E80:E81)</f>
        <v>1110</v>
      </c>
      <c r="G79" s="65"/>
      <c r="H79" s="66"/>
      <c r="I79" s="66"/>
      <c r="J79" s="66"/>
      <c r="K79" s="66"/>
    </row>
    <row r="80" spans="1:11" ht="15" customHeight="1">
      <c r="A80" s="29"/>
      <c r="B80" s="64"/>
      <c r="C80" s="30" t="s">
        <v>114</v>
      </c>
      <c r="D80" s="31"/>
      <c r="E80" s="51">
        <v>814</v>
      </c>
      <c r="F80" s="33"/>
      <c r="G80" s="65"/>
      <c r="H80" s="66"/>
      <c r="I80" s="66"/>
      <c r="J80" s="66"/>
      <c r="K80" s="66"/>
    </row>
    <row r="81" spans="1:11" ht="15" customHeight="1">
      <c r="A81" s="29"/>
      <c r="B81" s="64"/>
      <c r="C81" s="30" t="s">
        <v>117</v>
      </c>
      <c r="D81" s="31"/>
      <c r="E81" s="51">
        <f>(74*2)*2</f>
        <v>296</v>
      </c>
      <c r="F81" s="33"/>
      <c r="G81" s="65"/>
      <c r="H81" s="66"/>
      <c r="I81" s="66"/>
      <c r="J81" s="66"/>
      <c r="K81" s="66"/>
    </row>
    <row r="82" spans="1:11" ht="15" customHeight="1">
      <c r="A82" s="29">
        <f>MAX($A$7:A81)+1</f>
        <v>22</v>
      </c>
      <c r="B82" s="80" t="s">
        <v>118</v>
      </c>
      <c r="C82" s="81" t="s">
        <v>85</v>
      </c>
      <c r="D82" s="31" t="s">
        <v>69</v>
      </c>
      <c r="E82" s="47"/>
      <c r="F82" s="33">
        <f>E83</f>
        <v>4</v>
      </c>
      <c r="G82" s="65"/>
      <c r="H82" s="66"/>
      <c r="I82" s="66"/>
      <c r="J82" s="66"/>
      <c r="K82" s="66"/>
    </row>
    <row r="83" spans="1:11" ht="15" customHeight="1">
      <c r="A83" s="29"/>
      <c r="B83" s="80"/>
      <c r="C83" s="30" t="s">
        <v>119</v>
      </c>
      <c r="D83" s="31"/>
      <c r="E83" s="51">
        <v>4</v>
      </c>
      <c r="F83" s="33"/>
      <c r="G83" s="65"/>
      <c r="H83" s="66"/>
      <c r="I83" s="66"/>
      <c r="J83" s="66"/>
      <c r="K83" s="66"/>
    </row>
    <row r="84" spans="1:11" ht="15" customHeight="1">
      <c r="A84" s="29">
        <f>MAX($A$7:A83)+1</f>
        <v>23</v>
      </c>
      <c r="B84" s="80" t="s">
        <v>120</v>
      </c>
      <c r="C84" s="30" t="s">
        <v>121</v>
      </c>
      <c r="D84" s="31" t="s">
        <v>52</v>
      </c>
      <c r="E84" s="47"/>
      <c r="F84" s="39">
        <f>SUM(E85:E85)</f>
        <v>124.63000000000001</v>
      </c>
      <c r="G84" s="65"/>
      <c r="H84" s="66"/>
      <c r="I84" s="66"/>
      <c r="J84" s="66"/>
      <c r="K84" s="66"/>
    </row>
    <row r="85" spans="1:11" ht="15" customHeight="1">
      <c r="A85" s="29"/>
      <c r="B85" s="80"/>
      <c r="C85" s="30" t="s">
        <v>114</v>
      </c>
      <c r="D85" s="31"/>
      <c r="E85" s="47">
        <f>((6.74*11)*1.1)+((8.9*11)*1.1*0.4)</f>
        <v>124.63000000000001</v>
      </c>
      <c r="F85" s="39"/>
      <c r="G85" s="65"/>
      <c r="H85" s="66"/>
      <c r="I85" s="66"/>
      <c r="J85" s="66"/>
      <c r="K85" s="66"/>
    </row>
    <row r="86" spans="1:11" ht="33.75" customHeight="1">
      <c r="A86" s="29">
        <f>MAX($A$7:A85)+1</f>
        <v>24</v>
      </c>
      <c r="B86" s="80" t="s">
        <v>122</v>
      </c>
      <c r="C86" s="81" t="s">
        <v>123</v>
      </c>
      <c r="D86" s="31" t="s">
        <v>38</v>
      </c>
      <c r="E86" s="47"/>
      <c r="F86" s="39">
        <f>E87</f>
        <v>1531</v>
      </c>
      <c r="G86" s="65"/>
      <c r="H86" s="66"/>
      <c r="I86" s="66"/>
      <c r="J86" s="66"/>
      <c r="K86" s="66"/>
    </row>
    <row r="87" spans="1:11" ht="15" customHeight="1">
      <c r="A87" s="29"/>
      <c r="B87" s="80"/>
      <c r="C87" s="30" t="s">
        <v>114</v>
      </c>
      <c r="D87" s="31"/>
      <c r="E87" s="47">
        <v>1531</v>
      </c>
      <c r="F87" s="39"/>
      <c r="G87" s="65"/>
      <c r="H87" s="66"/>
      <c r="I87" s="66"/>
      <c r="J87" s="66"/>
      <c r="K87" s="66"/>
    </row>
    <row r="88" spans="1:7" s="11" customFormat="1" ht="15" customHeight="1">
      <c r="A88" s="21"/>
      <c r="B88" s="22" t="s">
        <v>124</v>
      </c>
      <c r="C88" s="23" t="s">
        <v>125</v>
      </c>
      <c r="D88" s="24"/>
      <c r="E88" s="24"/>
      <c r="F88" s="25"/>
      <c r="G88" s="45"/>
    </row>
    <row r="89" spans="1:8" s="11" customFormat="1" ht="15" customHeight="1">
      <c r="A89" s="27"/>
      <c r="B89" s="28" t="s">
        <v>126</v>
      </c>
      <c r="C89" s="69" t="s">
        <v>127</v>
      </c>
      <c r="D89" s="70"/>
      <c r="E89" s="70"/>
      <c r="F89" s="71"/>
      <c r="G89" s="45"/>
      <c r="H89" s="46"/>
    </row>
    <row r="90" spans="1:8" s="11" customFormat="1" ht="15" customHeight="1">
      <c r="A90" s="27"/>
      <c r="B90" s="28"/>
      <c r="C90" s="72" t="s">
        <v>92</v>
      </c>
      <c r="D90" s="73"/>
      <c r="E90" s="73"/>
      <c r="F90" s="74"/>
      <c r="G90" s="45"/>
      <c r="H90" s="26"/>
    </row>
    <row r="91" spans="1:10" s="55" customFormat="1" ht="45" customHeight="1">
      <c r="A91" s="64">
        <f>MAX($A$7:A90)+1</f>
        <v>25</v>
      </c>
      <c r="B91" s="64" t="s">
        <v>128</v>
      </c>
      <c r="C91" s="30" t="s">
        <v>129</v>
      </c>
      <c r="D91" s="75" t="s">
        <v>21</v>
      </c>
      <c r="E91" s="47"/>
      <c r="F91" s="39">
        <f>SUM(E92:E92)</f>
        <v>1.1</v>
      </c>
      <c r="G91" s="56"/>
      <c r="H91" s="57"/>
      <c r="I91" s="35"/>
      <c r="J91" s="35"/>
    </row>
    <row r="92" spans="1:10" s="55" customFormat="1" ht="12.75">
      <c r="A92" s="64"/>
      <c r="B92" s="64"/>
      <c r="C92" s="30" t="s">
        <v>119</v>
      </c>
      <c r="D92" s="75"/>
      <c r="E92" s="47">
        <f>ROUNDUP((8.9*11*1.1)*0.01,1)</f>
        <v>1.1</v>
      </c>
      <c r="F92" s="39"/>
      <c r="G92" s="56"/>
      <c r="H92" s="57"/>
      <c r="I92" s="35"/>
      <c r="J92" s="35"/>
    </row>
    <row r="93" spans="1:10" s="55" customFormat="1" ht="45" customHeight="1">
      <c r="A93" s="29">
        <f>MAX($A$7:A92)+1</f>
        <v>26</v>
      </c>
      <c r="B93" s="29" t="s">
        <v>130</v>
      </c>
      <c r="C93" s="30" t="s">
        <v>131</v>
      </c>
      <c r="D93" s="31" t="s">
        <v>21</v>
      </c>
      <c r="E93" s="47"/>
      <c r="F93" s="39">
        <f>SUM(E94:E94)</f>
        <v>4.4</v>
      </c>
      <c r="G93" s="56"/>
      <c r="H93" s="57"/>
      <c r="I93" s="35"/>
      <c r="J93" s="35"/>
    </row>
    <row r="94" spans="1:10" s="55" customFormat="1" ht="15">
      <c r="A94" s="29"/>
      <c r="B94" s="29"/>
      <c r="C94" s="30" t="s">
        <v>119</v>
      </c>
      <c r="D94" s="31"/>
      <c r="E94" s="47">
        <f>ROUNDUP(((8.9*11)*1.1)*0.04,1)</f>
        <v>4.4</v>
      </c>
      <c r="F94" s="39"/>
      <c r="G94" s="56"/>
      <c r="H94" s="57"/>
      <c r="I94" s="35"/>
      <c r="J94" s="35"/>
    </row>
    <row r="95" spans="1:8" s="55" customFormat="1" ht="15">
      <c r="A95" s="27"/>
      <c r="B95" s="28" t="s">
        <v>132</v>
      </c>
      <c r="C95" s="23" t="s">
        <v>133</v>
      </c>
      <c r="D95" s="24"/>
      <c r="E95" s="24"/>
      <c r="F95" s="53"/>
      <c r="G95" s="54"/>
      <c r="H95" s="46"/>
    </row>
    <row r="96" spans="1:8" s="55" customFormat="1" ht="15">
      <c r="A96" s="27"/>
      <c r="B96" s="28"/>
      <c r="C96" s="23" t="s">
        <v>99</v>
      </c>
      <c r="D96" s="24"/>
      <c r="E96" s="24"/>
      <c r="F96" s="53"/>
      <c r="G96" s="54"/>
      <c r="H96" s="36"/>
    </row>
    <row r="97" spans="1:9" s="55" customFormat="1" ht="12.75" customHeight="1">
      <c r="A97" s="29">
        <f>MAX($A$7:A96)+1</f>
        <v>27</v>
      </c>
      <c r="B97" s="29" t="s">
        <v>134</v>
      </c>
      <c r="C97" s="30" t="s">
        <v>101</v>
      </c>
      <c r="D97" s="31" t="s">
        <v>102</v>
      </c>
      <c r="E97" s="47"/>
      <c r="F97" s="52">
        <f>SUM(E98:E98)</f>
        <v>172.4</v>
      </c>
      <c r="G97" s="56"/>
      <c r="H97" s="57"/>
      <c r="I97" s="35"/>
    </row>
    <row r="98" spans="1:9" s="55" customFormat="1" ht="12.75">
      <c r="A98" s="29"/>
      <c r="B98" s="29"/>
      <c r="C98" s="30" t="s">
        <v>119</v>
      </c>
      <c r="D98" s="31"/>
      <c r="E98" s="47">
        <f>SUM(E100:E100)</f>
        <v>172.4</v>
      </c>
      <c r="F98" s="52"/>
      <c r="G98" s="56"/>
      <c r="H98" s="57"/>
      <c r="I98" s="35"/>
    </row>
    <row r="99" spans="1:9" s="55" customFormat="1" ht="30" customHeight="1">
      <c r="A99" s="29">
        <f>MAX($A$7:A98)+1</f>
        <v>28</v>
      </c>
      <c r="B99" s="29" t="s">
        <v>135</v>
      </c>
      <c r="C99" s="30" t="s">
        <v>136</v>
      </c>
      <c r="D99" s="31" t="s">
        <v>102</v>
      </c>
      <c r="E99" s="47"/>
      <c r="F99" s="39">
        <f>SUM(E100:E100)</f>
        <v>172.4</v>
      </c>
      <c r="G99" s="56"/>
      <c r="H99" s="57"/>
      <c r="I99" s="35"/>
    </row>
    <row r="100" spans="1:9" s="55" customFormat="1" ht="15">
      <c r="A100" s="29"/>
      <c r="B100" s="29"/>
      <c r="C100" s="30" t="s">
        <v>119</v>
      </c>
      <c r="D100" s="31"/>
      <c r="E100" s="47">
        <f>ROUNDUP(((8.9*11)*1.1*0.8)*0.002*1000,1)</f>
        <v>172.4</v>
      </c>
      <c r="F100" s="39"/>
      <c r="G100" s="56"/>
      <c r="H100" s="57"/>
      <c r="I100" s="35"/>
    </row>
    <row r="101" spans="1:7" s="43" customFormat="1" ht="15" customHeight="1">
      <c r="A101" s="44"/>
      <c r="B101" s="44" t="s">
        <v>137</v>
      </c>
      <c r="C101" s="82" t="s">
        <v>138</v>
      </c>
      <c r="D101" s="83"/>
      <c r="E101" s="83"/>
      <c r="F101" s="84"/>
      <c r="G101" s="78"/>
    </row>
    <row r="102" spans="1:8" s="43" customFormat="1" ht="15" customHeight="1">
      <c r="A102" s="21"/>
      <c r="B102" s="21" t="s">
        <v>139</v>
      </c>
      <c r="C102" s="85" t="s">
        <v>140</v>
      </c>
      <c r="D102" s="86"/>
      <c r="E102" s="86"/>
      <c r="F102" s="87"/>
      <c r="G102" s="78"/>
      <c r="H102" s="26"/>
    </row>
    <row r="103" spans="1:8" s="43" customFormat="1" ht="16.5" customHeight="1">
      <c r="A103" s="27"/>
      <c r="B103" s="27" t="s">
        <v>141</v>
      </c>
      <c r="C103" s="85" t="s">
        <v>142</v>
      </c>
      <c r="D103" s="86"/>
      <c r="E103" s="86"/>
      <c r="F103" s="87"/>
      <c r="G103" s="78"/>
      <c r="H103" s="46"/>
    </row>
    <row r="104" spans="1:10" ht="42.75" customHeight="1">
      <c r="A104" s="29">
        <f>MAX($A$7:A103)+1</f>
        <v>29</v>
      </c>
      <c r="B104" s="29" t="s">
        <v>143</v>
      </c>
      <c r="C104" s="68" t="s">
        <v>144</v>
      </c>
      <c r="D104" s="31" t="s">
        <v>27</v>
      </c>
      <c r="E104" s="47"/>
      <c r="F104" s="39">
        <f>SUM(E105:E106)</f>
        <v>15.34</v>
      </c>
      <c r="G104" s="65"/>
      <c r="H104" s="66"/>
      <c r="I104" s="66"/>
      <c r="J104" s="66"/>
    </row>
    <row r="105" spans="1:10" s="55" customFormat="1" ht="12.75">
      <c r="A105" s="29"/>
      <c r="B105" s="29"/>
      <c r="C105" s="30" t="s">
        <v>80</v>
      </c>
      <c r="D105" s="31"/>
      <c r="E105" s="88">
        <v>7.67</v>
      </c>
      <c r="F105" s="39"/>
      <c r="G105" s="56"/>
      <c r="H105" s="57"/>
      <c r="I105" s="35"/>
      <c r="J105" s="35"/>
    </row>
    <row r="106" spans="1:10" s="55" customFormat="1" ht="12.75">
      <c r="A106" s="29"/>
      <c r="B106" s="29"/>
      <c r="C106" s="30" t="s">
        <v>81</v>
      </c>
      <c r="D106" s="31"/>
      <c r="E106" s="88">
        <v>7.67</v>
      </c>
      <c r="F106" s="39"/>
      <c r="G106" s="56"/>
      <c r="H106" s="57"/>
      <c r="I106" s="35"/>
      <c r="J106" s="35"/>
    </row>
    <row r="107" spans="1:7" s="11" customFormat="1" ht="13.5" customHeight="1">
      <c r="A107" s="89"/>
      <c r="B107" s="90" t="s">
        <v>145</v>
      </c>
      <c r="C107" s="18" t="s">
        <v>146</v>
      </c>
      <c r="D107" s="19"/>
      <c r="E107" s="19"/>
      <c r="F107" s="20"/>
      <c r="G107" s="37"/>
    </row>
    <row r="108" spans="1:7" s="11" customFormat="1" ht="13.5" customHeight="1">
      <c r="A108" s="21"/>
      <c r="B108" s="27" t="s">
        <v>147</v>
      </c>
      <c r="C108" s="23" t="s">
        <v>148</v>
      </c>
      <c r="D108" s="24"/>
      <c r="E108" s="24"/>
      <c r="F108" s="25"/>
      <c r="G108" s="37"/>
    </row>
    <row r="109" spans="1:8" s="11" customFormat="1" ht="13.5" customHeight="1">
      <c r="A109" s="21"/>
      <c r="B109" s="27" t="s">
        <v>149</v>
      </c>
      <c r="C109" s="23" t="s">
        <v>150</v>
      </c>
      <c r="D109" s="24"/>
      <c r="E109" s="24"/>
      <c r="F109" s="25"/>
      <c r="G109" s="37"/>
      <c r="H109" s="46"/>
    </row>
    <row r="110" spans="1:10" s="11" customFormat="1" ht="25.5" customHeight="1">
      <c r="A110" s="29">
        <f>MAX($A$7:A109)+1</f>
        <v>30</v>
      </c>
      <c r="B110" s="29" t="s">
        <v>151</v>
      </c>
      <c r="C110" s="30" t="s">
        <v>152</v>
      </c>
      <c r="D110" s="31" t="s">
        <v>153</v>
      </c>
      <c r="E110" s="32"/>
      <c r="F110" s="39">
        <f>SUM(E111:E112)</f>
        <v>152.8</v>
      </c>
      <c r="G110" s="34"/>
      <c r="H110" s="49"/>
      <c r="I110" s="50"/>
      <c r="J110" s="50"/>
    </row>
    <row r="111" spans="1:10" s="11" customFormat="1" ht="12.75">
      <c r="A111" s="29"/>
      <c r="B111" s="29"/>
      <c r="C111" s="30" t="s">
        <v>80</v>
      </c>
      <c r="D111" s="31"/>
      <c r="E111" s="40">
        <f>ROUNDUP((6.75*4+2*4.95+2*5*0.35+2*6.3+0.72*7.35+0.7*(7.35+2*0.3)*2)*1.1,1)</f>
        <v>76.4</v>
      </c>
      <c r="F111" s="39"/>
      <c r="G111" s="48"/>
      <c r="H111" s="49"/>
      <c r="I111" s="50"/>
      <c r="J111" s="50"/>
    </row>
    <row r="112" spans="1:10" s="11" customFormat="1" ht="12.75">
      <c r="A112" s="29"/>
      <c r="B112" s="29"/>
      <c r="C112" s="30" t="s">
        <v>81</v>
      </c>
      <c r="D112" s="31"/>
      <c r="E112" s="40">
        <f>ROUNDUP((6.75*4+2*4.95+2*5*0.35+2*6.3+0.72*7.35+0.7*(7.35+2*0.3)*2)*1.1,1)</f>
        <v>76.4</v>
      </c>
      <c r="F112" s="39"/>
      <c r="G112" s="48"/>
      <c r="H112" s="49"/>
      <c r="I112" s="50"/>
      <c r="J112" s="50"/>
    </row>
    <row r="113" spans="1:10" s="11" customFormat="1" ht="23.25" customHeight="1">
      <c r="A113" s="29">
        <f>MAX($A$7:A112)+1</f>
        <v>31</v>
      </c>
      <c r="B113" s="29" t="s">
        <v>154</v>
      </c>
      <c r="C113" s="30" t="s">
        <v>155</v>
      </c>
      <c r="D113" s="31" t="s">
        <v>153</v>
      </c>
      <c r="E113" s="32"/>
      <c r="F113" s="39">
        <f>SUM(E114:E116)</f>
        <v>101.5</v>
      </c>
      <c r="G113" s="34"/>
      <c r="H113" s="49"/>
      <c r="I113" s="50"/>
      <c r="J113" s="50"/>
    </row>
    <row r="114" spans="1:10" s="11" customFormat="1" ht="12.75">
      <c r="A114" s="29"/>
      <c r="B114" s="29"/>
      <c r="C114" s="30" t="s">
        <v>80</v>
      </c>
      <c r="D114" s="31"/>
      <c r="E114" s="40">
        <f>ROUNDUP(((1.8+0.3)*7.35+2*0.3*3)*1.1,1)</f>
        <v>19</v>
      </c>
      <c r="F114" s="39"/>
      <c r="G114" s="48"/>
      <c r="H114" s="49"/>
      <c r="I114" s="50"/>
      <c r="J114" s="50"/>
    </row>
    <row r="115" spans="1:10" s="11" customFormat="1" ht="12.75">
      <c r="A115" s="29"/>
      <c r="B115" s="29"/>
      <c r="C115" s="30" t="s">
        <v>81</v>
      </c>
      <c r="D115" s="31"/>
      <c r="E115" s="40">
        <f>ROUNDUP(((1.8+0.3)*7.35+2*0.3*3)*1.1,1)</f>
        <v>19</v>
      </c>
      <c r="F115" s="39"/>
      <c r="G115" s="48"/>
      <c r="H115" s="49"/>
      <c r="I115" s="50"/>
      <c r="J115" s="50"/>
    </row>
    <row r="116" spans="1:10" s="11" customFormat="1" ht="12.75">
      <c r="A116" s="29"/>
      <c r="B116" s="29"/>
      <c r="C116" s="30" t="s">
        <v>156</v>
      </c>
      <c r="D116" s="31"/>
      <c r="E116" s="40">
        <f>ROUNDUP((2*(4+0.3)*6.71)*1.1,1)</f>
        <v>63.5</v>
      </c>
      <c r="F116" s="39"/>
      <c r="G116" s="48"/>
      <c r="H116" s="49"/>
      <c r="I116" s="50"/>
      <c r="J116" s="50"/>
    </row>
    <row r="117" spans="1:8" s="43" customFormat="1" ht="15" customHeight="1">
      <c r="A117" s="27"/>
      <c r="B117" s="27" t="s">
        <v>157</v>
      </c>
      <c r="C117" s="85" t="s">
        <v>158</v>
      </c>
      <c r="D117" s="86"/>
      <c r="E117" s="86"/>
      <c r="F117" s="87"/>
      <c r="G117" s="78"/>
      <c r="H117" s="26"/>
    </row>
    <row r="118" spans="1:8" s="43" customFormat="1" ht="15" customHeight="1">
      <c r="A118" s="27"/>
      <c r="B118" s="27" t="s">
        <v>159</v>
      </c>
      <c r="C118" s="85" t="s">
        <v>160</v>
      </c>
      <c r="D118" s="86"/>
      <c r="E118" s="86"/>
      <c r="F118" s="87"/>
      <c r="G118" s="78"/>
      <c r="H118" s="46"/>
    </row>
    <row r="119" spans="1:10" ht="15" customHeight="1">
      <c r="A119" s="29">
        <f>MAX($A$7:A118)+1</f>
        <v>32</v>
      </c>
      <c r="B119" s="29" t="s">
        <v>161</v>
      </c>
      <c r="C119" s="30" t="s">
        <v>162</v>
      </c>
      <c r="D119" s="31" t="s">
        <v>52</v>
      </c>
      <c r="E119" s="47">
        <f>F120+F124</f>
        <v>180.6</v>
      </c>
      <c r="F119" s="39">
        <f>E119</f>
        <v>180.6</v>
      </c>
      <c r="G119" s="65"/>
      <c r="H119" s="66"/>
      <c r="I119" s="66"/>
      <c r="J119" s="66"/>
    </row>
    <row r="120" spans="1:10" ht="30" customHeight="1">
      <c r="A120" s="29">
        <f>MAX($A$7:A119)+1</f>
        <v>33</v>
      </c>
      <c r="B120" s="29" t="s">
        <v>163</v>
      </c>
      <c r="C120" s="30" t="s">
        <v>164</v>
      </c>
      <c r="D120" s="31" t="s">
        <v>52</v>
      </c>
      <c r="E120" s="47"/>
      <c r="F120" s="39">
        <f>SUM(E121:E123)</f>
        <v>163.5</v>
      </c>
      <c r="G120" s="65"/>
      <c r="H120" s="66"/>
      <c r="I120" s="66"/>
      <c r="J120" s="66"/>
    </row>
    <row r="121" spans="1:10" s="11" customFormat="1" ht="12.75">
      <c r="A121" s="29"/>
      <c r="B121" s="29"/>
      <c r="C121" s="30" t="s">
        <v>165</v>
      </c>
      <c r="D121" s="31"/>
      <c r="E121" s="40">
        <f>ROUNDUP((2*(4+0.3)*6.71)*1.1,1)</f>
        <v>63.5</v>
      </c>
      <c r="F121" s="39"/>
      <c r="G121" s="48"/>
      <c r="H121" s="49"/>
      <c r="I121" s="50"/>
      <c r="J121" s="50"/>
    </row>
    <row r="122" spans="1:10" s="11" customFormat="1" ht="12.75">
      <c r="A122" s="29"/>
      <c r="B122" s="29"/>
      <c r="C122" s="30" t="s">
        <v>119</v>
      </c>
      <c r="D122" s="31"/>
      <c r="E122" s="40">
        <f>ROUNDUP(11.64*6.47*1.1,1)</f>
        <v>82.9</v>
      </c>
      <c r="F122" s="39"/>
      <c r="G122" s="48"/>
      <c r="H122" s="49"/>
      <c r="I122" s="50"/>
      <c r="J122" s="50"/>
    </row>
    <row r="123" spans="1:10" s="11" customFormat="1" ht="12.75">
      <c r="A123" s="29"/>
      <c r="B123" s="29"/>
      <c r="C123" s="30" t="s">
        <v>166</v>
      </c>
      <c r="D123" s="31"/>
      <c r="E123" s="40">
        <f>ROUNDUP(2*0.45*17.24*1.1,1)</f>
        <v>17.1</v>
      </c>
      <c r="F123" s="39"/>
      <c r="G123" s="48"/>
      <c r="H123" s="49"/>
      <c r="I123" s="50"/>
      <c r="J123" s="50"/>
    </row>
    <row r="124" spans="1:10" ht="30" customHeight="1">
      <c r="A124" s="29">
        <f>MAX($A$7:A120)+1</f>
        <v>34</v>
      </c>
      <c r="B124" s="29" t="s">
        <v>167</v>
      </c>
      <c r="C124" s="30" t="s">
        <v>168</v>
      </c>
      <c r="D124" s="31" t="s">
        <v>52</v>
      </c>
      <c r="E124" s="47"/>
      <c r="F124" s="39">
        <f>E125</f>
        <v>17.1</v>
      </c>
      <c r="G124" s="65"/>
      <c r="H124" s="66"/>
      <c r="I124" s="66"/>
      <c r="J124" s="66"/>
    </row>
    <row r="125" spans="1:10" s="11" customFormat="1" ht="12.75">
      <c r="A125" s="29"/>
      <c r="B125" s="29"/>
      <c r="C125" s="30" t="s">
        <v>166</v>
      </c>
      <c r="D125" s="31"/>
      <c r="E125" s="40">
        <f>ROUNDUP(2*0.45*17.24*1.1,1)</f>
        <v>17.1</v>
      </c>
      <c r="F125" s="39"/>
      <c r="G125" s="48"/>
      <c r="H125" s="49"/>
      <c r="I125" s="50"/>
      <c r="J125" s="50"/>
    </row>
    <row r="126" spans="1:7" s="43" customFormat="1" ht="15" customHeight="1">
      <c r="A126" s="90"/>
      <c r="B126" s="90" t="s">
        <v>169</v>
      </c>
      <c r="C126" s="82" t="s">
        <v>170</v>
      </c>
      <c r="D126" s="83"/>
      <c r="E126" s="83"/>
      <c r="F126" s="84"/>
      <c r="G126" s="78"/>
    </row>
    <row r="127" spans="1:8" s="43" customFormat="1" ht="15" customHeight="1">
      <c r="A127" s="27"/>
      <c r="B127" s="27" t="s">
        <v>171</v>
      </c>
      <c r="C127" s="85" t="s">
        <v>172</v>
      </c>
      <c r="D127" s="86"/>
      <c r="E127" s="86"/>
      <c r="F127" s="87"/>
      <c r="G127" s="78"/>
      <c r="H127" s="26"/>
    </row>
    <row r="128" spans="1:8" s="43" customFormat="1" ht="15" customHeight="1">
      <c r="A128" s="27"/>
      <c r="B128" s="27" t="s">
        <v>173</v>
      </c>
      <c r="C128" s="85" t="s">
        <v>174</v>
      </c>
      <c r="D128" s="86"/>
      <c r="E128" s="86"/>
      <c r="F128" s="87"/>
      <c r="G128" s="78"/>
      <c r="H128" s="46"/>
    </row>
    <row r="129" spans="1:9" ht="15" customHeight="1">
      <c r="A129" s="29">
        <f>MAX($A$7:A128)+1</f>
        <v>35</v>
      </c>
      <c r="B129" s="29" t="s">
        <v>175</v>
      </c>
      <c r="C129" s="30" t="s">
        <v>176</v>
      </c>
      <c r="D129" s="31" t="s">
        <v>27</v>
      </c>
      <c r="E129" s="47"/>
      <c r="F129" s="39">
        <f>SUM(E130:E131)</f>
        <v>34.4</v>
      </c>
      <c r="G129" s="91"/>
      <c r="H129" s="92"/>
      <c r="I129" s="66"/>
    </row>
    <row r="130" spans="1:9" s="11" customFormat="1" ht="12.75">
      <c r="A130" s="29"/>
      <c r="B130" s="29"/>
      <c r="C130" s="30" t="s">
        <v>177</v>
      </c>
      <c r="D130" s="31"/>
      <c r="E130" s="40">
        <f>2*11</f>
        <v>22</v>
      </c>
      <c r="F130" s="39"/>
      <c r="G130" s="48"/>
      <c r="H130" s="49"/>
      <c r="I130" s="50"/>
    </row>
    <row r="131" spans="1:9" s="11" customFormat="1" ht="12.75">
      <c r="A131" s="29"/>
      <c r="B131" s="29"/>
      <c r="C131" s="30" t="s">
        <v>178</v>
      </c>
      <c r="D131" s="31"/>
      <c r="E131" s="40">
        <f>4*3.1</f>
        <v>12.4</v>
      </c>
      <c r="F131" s="39"/>
      <c r="G131" s="48"/>
      <c r="H131" s="49"/>
      <c r="I131" s="50"/>
    </row>
    <row r="132" spans="1:9" ht="30" customHeight="1">
      <c r="A132" s="29">
        <f>MAX($A$7:A131)+1</f>
        <v>36</v>
      </c>
      <c r="B132" s="29" t="s">
        <v>179</v>
      </c>
      <c r="C132" s="30" t="s">
        <v>180</v>
      </c>
      <c r="D132" s="31" t="s">
        <v>27</v>
      </c>
      <c r="E132" s="47">
        <f>F129</f>
        <v>34.4</v>
      </c>
      <c r="F132" s="39">
        <f>E132</f>
        <v>34.4</v>
      </c>
      <c r="G132" s="65"/>
      <c r="H132" s="66"/>
      <c r="I132" s="66"/>
    </row>
    <row r="133" spans="1:8" s="43" customFormat="1" ht="15" customHeight="1">
      <c r="A133" s="27"/>
      <c r="B133" s="27" t="s">
        <v>181</v>
      </c>
      <c r="C133" s="85" t="s">
        <v>182</v>
      </c>
      <c r="D133" s="86"/>
      <c r="E133" s="86"/>
      <c r="F133" s="87"/>
      <c r="G133" s="78"/>
      <c r="H133" s="26"/>
    </row>
    <row r="134" spans="1:8" s="43" customFormat="1" ht="15" customHeight="1">
      <c r="A134" s="27"/>
      <c r="B134" s="27" t="s">
        <v>183</v>
      </c>
      <c r="C134" s="85" t="s">
        <v>184</v>
      </c>
      <c r="D134" s="86"/>
      <c r="E134" s="86"/>
      <c r="F134" s="87"/>
      <c r="G134" s="78"/>
      <c r="H134" s="93"/>
    </row>
    <row r="135" spans="1:9" ht="25.5" customHeight="1">
      <c r="A135" s="29">
        <f>MAX($A$7:A134)+1</f>
        <v>37</v>
      </c>
      <c r="B135" s="29" t="s">
        <v>185</v>
      </c>
      <c r="C135" s="30" t="s">
        <v>186</v>
      </c>
      <c r="D135" s="31" t="s">
        <v>21</v>
      </c>
      <c r="E135" s="47"/>
      <c r="F135" s="39">
        <f>E136</f>
        <v>1.8</v>
      </c>
      <c r="G135" s="65"/>
      <c r="H135" s="94"/>
      <c r="I135" s="94"/>
    </row>
    <row r="136" spans="1:9" s="11" customFormat="1" ht="12.75">
      <c r="A136" s="29"/>
      <c r="B136" s="29"/>
      <c r="C136" s="30" t="s">
        <v>178</v>
      </c>
      <c r="D136" s="31"/>
      <c r="E136" s="40">
        <f>ROUNDUP((4*0.45),1)</f>
        <v>1.8</v>
      </c>
      <c r="F136" s="39"/>
      <c r="G136" s="48"/>
      <c r="H136" s="49"/>
      <c r="I136" s="50"/>
    </row>
    <row r="137" spans="1:9" ht="30" customHeight="1">
      <c r="A137" s="29">
        <f>MAX($A$7:A135)+1</f>
        <v>38</v>
      </c>
      <c r="B137" s="95" t="s">
        <v>187</v>
      </c>
      <c r="C137" s="96" t="s">
        <v>188</v>
      </c>
      <c r="D137" s="31" t="s">
        <v>21</v>
      </c>
      <c r="E137" s="47"/>
      <c r="F137" s="39">
        <f>SUM(E138:E139)</f>
        <v>6</v>
      </c>
      <c r="G137" s="65"/>
      <c r="H137" s="94"/>
      <c r="I137" s="94"/>
    </row>
    <row r="138" spans="1:9" s="11" customFormat="1" ht="12.75">
      <c r="A138" s="29"/>
      <c r="B138" s="95"/>
      <c r="C138" s="30" t="s">
        <v>177</v>
      </c>
      <c r="D138" s="31"/>
      <c r="E138" s="40">
        <f>ROUNDUP(2*1.8,1)</f>
        <v>3.6</v>
      </c>
      <c r="F138" s="39"/>
      <c r="G138" s="48"/>
      <c r="H138" s="49"/>
      <c r="I138" s="50"/>
    </row>
    <row r="139" spans="1:9" s="11" customFormat="1" ht="12.75">
      <c r="A139" s="29"/>
      <c r="B139" s="95"/>
      <c r="C139" s="30" t="s">
        <v>178</v>
      </c>
      <c r="D139" s="31"/>
      <c r="E139" s="40">
        <f>ROUNDUP(4*0.6,1)</f>
        <v>2.4</v>
      </c>
      <c r="F139" s="39"/>
      <c r="G139" s="48"/>
      <c r="H139" s="49"/>
      <c r="I139" s="50"/>
    </row>
    <row r="140" spans="1:9" ht="23.25" customHeight="1">
      <c r="A140" s="64">
        <f>MAX($A$7:A137)+1</f>
        <v>39</v>
      </c>
      <c r="B140" s="64" t="s">
        <v>189</v>
      </c>
      <c r="C140" s="30" t="s">
        <v>190</v>
      </c>
      <c r="D140" s="75" t="s">
        <v>38</v>
      </c>
      <c r="E140" s="47"/>
      <c r="F140" s="97">
        <f>SUM(E141:E141)</f>
        <v>340</v>
      </c>
      <c r="G140" s="65"/>
      <c r="H140" s="66"/>
      <c r="I140" s="66"/>
    </row>
    <row r="141" spans="1:9" ht="12.75">
      <c r="A141" s="64"/>
      <c r="B141" s="64"/>
      <c r="C141" s="30" t="s">
        <v>191</v>
      </c>
      <c r="D141" s="75"/>
      <c r="E141" s="47">
        <f>2*17*10</f>
        <v>340</v>
      </c>
      <c r="F141" s="97"/>
      <c r="G141" s="65"/>
      <c r="H141" s="66"/>
      <c r="I141" s="66"/>
    </row>
    <row r="142" spans="1:11" ht="12.75">
      <c r="A142" s="29">
        <f>MAX($A$7:A141)+1</f>
        <v>40</v>
      </c>
      <c r="B142" s="29" t="s">
        <v>192</v>
      </c>
      <c r="C142" s="30" t="s">
        <v>193</v>
      </c>
      <c r="D142" s="31" t="s">
        <v>27</v>
      </c>
      <c r="E142" s="47">
        <f>ROUNDUP(2*6*1,1)</f>
        <v>12</v>
      </c>
      <c r="F142" s="33">
        <f>E142</f>
        <v>12</v>
      </c>
      <c r="G142" s="65"/>
      <c r="H142" s="66"/>
      <c r="I142" s="66"/>
      <c r="K142" s="98"/>
    </row>
    <row r="143" spans="1:9" ht="30" customHeight="1">
      <c r="A143" s="29">
        <f>MAX($A$7:A142)+1</f>
        <v>41</v>
      </c>
      <c r="B143" s="29" t="s">
        <v>194</v>
      </c>
      <c r="C143" s="30" t="s">
        <v>195</v>
      </c>
      <c r="D143" s="31" t="s">
        <v>38</v>
      </c>
      <c r="E143" s="47"/>
      <c r="F143" s="39">
        <f>SUM(E144:E145)</f>
        <v>910</v>
      </c>
      <c r="G143" s="65"/>
      <c r="H143" s="66"/>
      <c r="I143" s="66"/>
    </row>
    <row r="144" spans="1:9" s="11" customFormat="1" ht="12.75">
      <c r="A144" s="29"/>
      <c r="B144" s="29"/>
      <c r="C144" s="30" t="s">
        <v>177</v>
      </c>
      <c r="D144" s="31"/>
      <c r="E144" s="40">
        <f>ROUNDUP(2*295,1)</f>
        <v>590</v>
      </c>
      <c r="F144" s="39"/>
      <c r="G144" s="48"/>
      <c r="H144" s="49"/>
      <c r="I144" s="50"/>
    </row>
    <row r="145" spans="1:9" s="11" customFormat="1" ht="12.75">
      <c r="A145" s="29"/>
      <c r="B145" s="29"/>
      <c r="C145" s="30" t="s">
        <v>178</v>
      </c>
      <c r="D145" s="31"/>
      <c r="E145" s="40">
        <f>ROUNDUP(4*80,1)</f>
        <v>320</v>
      </c>
      <c r="F145" s="39"/>
      <c r="G145" s="48"/>
      <c r="H145" s="49"/>
      <c r="I145" s="50"/>
    </row>
    <row r="146" spans="1:7" ht="15" customHeight="1">
      <c r="A146" s="27"/>
      <c r="B146" s="27" t="s">
        <v>196</v>
      </c>
      <c r="C146" s="85" t="s">
        <v>197</v>
      </c>
      <c r="D146" s="99"/>
      <c r="E146" s="99"/>
      <c r="F146" s="100"/>
      <c r="G146" s="62"/>
    </row>
    <row r="147" spans="1:8" ht="15" customHeight="1">
      <c r="A147" s="27"/>
      <c r="B147" s="27" t="s">
        <v>198</v>
      </c>
      <c r="C147" s="85" t="s">
        <v>199</v>
      </c>
      <c r="D147" s="86"/>
      <c r="E147" s="86"/>
      <c r="F147" s="87"/>
      <c r="G147" s="62"/>
      <c r="H147" s="46"/>
    </row>
    <row r="148" spans="1:9" ht="15" customHeight="1">
      <c r="A148" s="29">
        <f>MAX($A$7:A147)+1</f>
        <v>42</v>
      </c>
      <c r="B148" s="29" t="s">
        <v>200</v>
      </c>
      <c r="C148" s="30" t="s">
        <v>201</v>
      </c>
      <c r="D148" s="31" t="s">
        <v>27</v>
      </c>
      <c r="E148" s="47">
        <f>ROUNDUP(2*17.24,1)</f>
        <v>34.5</v>
      </c>
      <c r="F148" s="39">
        <f>E148</f>
        <v>34.5</v>
      </c>
      <c r="G148" s="65"/>
      <c r="H148" s="66"/>
      <c r="I148" s="66"/>
    </row>
    <row r="149" spans="1:9" ht="15" customHeight="1">
      <c r="A149" s="29">
        <f>MAX($A$7:A148)+1</f>
        <v>43</v>
      </c>
      <c r="B149" s="29" t="s">
        <v>202</v>
      </c>
      <c r="C149" s="30" t="s">
        <v>203</v>
      </c>
      <c r="D149" s="31" t="s">
        <v>27</v>
      </c>
      <c r="E149" s="47">
        <f>ROUNDUP(2*17.24,1)</f>
        <v>34.5</v>
      </c>
      <c r="F149" s="39">
        <f>E149</f>
        <v>34.5</v>
      </c>
      <c r="G149" s="65"/>
      <c r="H149" s="66"/>
      <c r="I149" s="66"/>
    </row>
    <row r="150" spans="1:7" s="43" customFormat="1" ht="15" customHeight="1">
      <c r="A150" s="90"/>
      <c r="B150" s="90" t="s">
        <v>204</v>
      </c>
      <c r="C150" s="18" t="s">
        <v>205</v>
      </c>
      <c r="D150" s="19"/>
      <c r="E150" s="19"/>
      <c r="F150" s="20"/>
      <c r="G150" s="101"/>
    </row>
    <row r="151" spans="1:7" s="43" customFormat="1" ht="15" customHeight="1">
      <c r="A151" s="27"/>
      <c r="B151" s="27" t="s">
        <v>206</v>
      </c>
      <c r="C151" s="23" t="s">
        <v>207</v>
      </c>
      <c r="D151" s="24"/>
      <c r="E151" s="24"/>
      <c r="F151" s="25"/>
      <c r="G151" s="101"/>
    </row>
    <row r="152" spans="1:8" s="43" customFormat="1" ht="15" customHeight="1">
      <c r="A152" s="27"/>
      <c r="B152" s="27" t="s">
        <v>208</v>
      </c>
      <c r="C152" s="23" t="s">
        <v>207</v>
      </c>
      <c r="D152" s="24"/>
      <c r="E152" s="24"/>
      <c r="F152" s="25"/>
      <c r="G152" s="101"/>
      <c r="H152" s="46"/>
    </row>
    <row r="153" spans="1:9" ht="15" customHeight="1">
      <c r="A153" s="29">
        <f>MAX($A$7:A152)+1</f>
        <v>44</v>
      </c>
      <c r="B153" s="29" t="s">
        <v>209</v>
      </c>
      <c r="C153" s="102" t="s">
        <v>210</v>
      </c>
      <c r="D153" s="31" t="s">
        <v>27</v>
      </c>
      <c r="E153" s="47"/>
      <c r="F153" s="39">
        <f>SUM(E154:E155)</f>
        <v>25</v>
      </c>
      <c r="G153" s="65"/>
      <c r="H153" s="66"/>
      <c r="I153" s="66"/>
    </row>
    <row r="154" spans="1:9" s="11" customFormat="1" ht="12.75">
      <c r="A154" s="29"/>
      <c r="B154" s="29"/>
      <c r="C154" s="30" t="s">
        <v>211</v>
      </c>
      <c r="D154" s="31"/>
      <c r="E154" s="40">
        <f>2*7.5</f>
        <v>15</v>
      </c>
      <c r="F154" s="39"/>
      <c r="G154" s="48"/>
      <c r="H154" s="49"/>
      <c r="I154" s="50"/>
    </row>
    <row r="155" spans="1:9" s="11" customFormat="1" ht="12.75">
      <c r="A155" s="29"/>
      <c r="B155" s="29"/>
      <c r="C155" s="30" t="s">
        <v>212</v>
      </c>
      <c r="D155" s="31"/>
      <c r="E155" s="40">
        <f>4*2.5</f>
        <v>10</v>
      </c>
      <c r="F155" s="39"/>
      <c r="G155" s="48"/>
      <c r="H155" s="49"/>
      <c r="I155" s="50"/>
    </row>
    <row r="156" spans="1:7" s="43" customFormat="1" ht="15" customHeight="1">
      <c r="A156" s="27"/>
      <c r="B156" s="27" t="s">
        <v>213</v>
      </c>
      <c r="C156" s="23" t="s">
        <v>214</v>
      </c>
      <c r="D156" s="24"/>
      <c r="E156" s="24"/>
      <c r="F156" s="25"/>
      <c r="G156" s="101"/>
    </row>
    <row r="157" spans="1:8" s="43" customFormat="1" ht="15" customHeight="1">
      <c r="A157" s="27"/>
      <c r="B157" s="27" t="s">
        <v>215</v>
      </c>
      <c r="C157" s="23" t="s">
        <v>216</v>
      </c>
      <c r="D157" s="24"/>
      <c r="E157" s="24"/>
      <c r="F157" s="25"/>
      <c r="G157" s="101"/>
      <c r="H157" s="46"/>
    </row>
    <row r="158" spans="1:9" s="105" customFormat="1" ht="30" customHeight="1">
      <c r="A158" s="31">
        <f>MAX($A$7:A157)+1</f>
        <v>45</v>
      </c>
      <c r="B158" s="31" t="s">
        <v>217</v>
      </c>
      <c r="C158" s="68" t="s">
        <v>218</v>
      </c>
      <c r="D158" s="31" t="s">
        <v>21</v>
      </c>
      <c r="E158" s="47"/>
      <c r="F158" s="39">
        <f>SUM(E159:E160)</f>
        <v>267.4</v>
      </c>
      <c r="G158" s="103"/>
      <c r="H158" s="104"/>
      <c r="I158" s="104"/>
    </row>
    <row r="159" spans="1:9" ht="12.75">
      <c r="A159" s="31"/>
      <c r="B159" s="31"/>
      <c r="C159" s="30" t="s">
        <v>80</v>
      </c>
      <c r="D159" s="31"/>
      <c r="E159" s="106">
        <f>ROUNDUP(18*6.75*1.1,1)</f>
        <v>133.7</v>
      </c>
      <c r="F159" s="39"/>
      <c r="G159" s="65"/>
      <c r="H159" s="66"/>
      <c r="I159" s="66"/>
    </row>
    <row r="160" spans="1:9" ht="12.75">
      <c r="A160" s="31"/>
      <c r="B160" s="31"/>
      <c r="C160" s="30" t="s">
        <v>81</v>
      </c>
      <c r="D160" s="31"/>
      <c r="E160" s="106">
        <f>ROUNDUP(18*6.75*1.1,1)</f>
        <v>133.7</v>
      </c>
      <c r="F160" s="39"/>
      <c r="G160" s="65"/>
      <c r="H160" s="66"/>
      <c r="I160" s="66"/>
    </row>
    <row r="161" spans="1:8" s="43" customFormat="1" ht="15" customHeight="1">
      <c r="A161" s="27"/>
      <c r="B161" s="27" t="s">
        <v>219</v>
      </c>
      <c r="C161" s="23" t="s">
        <v>220</v>
      </c>
      <c r="D161" s="24"/>
      <c r="E161" s="24"/>
      <c r="F161" s="25"/>
      <c r="G161" s="101"/>
      <c r="H161" s="46"/>
    </row>
    <row r="162" spans="1:9" s="105" customFormat="1" ht="30" customHeight="1">
      <c r="A162" s="31">
        <f>MAX($A$7:A161)+1</f>
        <v>46</v>
      </c>
      <c r="B162" s="31" t="s">
        <v>221</v>
      </c>
      <c r="C162" s="68" t="s">
        <v>222</v>
      </c>
      <c r="D162" s="31" t="s">
        <v>21</v>
      </c>
      <c r="E162" s="47"/>
      <c r="F162" s="39">
        <f>SUM(E163:E164)</f>
        <v>74.7</v>
      </c>
      <c r="G162" s="103"/>
      <c r="H162" s="104"/>
      <c r="I162" s="104"/>
    </row>
    <row r="163" spans="1:9" ht="12.75">
      <c r="A163" s="31"/>
      <c r="B163" s="31"/>
      <c r="C163" s="30" t="s">
        <v>80</v>
      </c>
      <c r="D163" s="31"/>
      <c r="E163" s="106">
        <f>ROUNDUP(22.2+13.4,1)</f>
        <v>35.6</v>
      </c>
      <c r="F163" s="39"/>
      <c r="G163" s="65"/>
      <c r="H163" s="66"/>
      <c r="I163" s="66"/>
    </row>
    <row r="164" spans="1:9" ht="12.75">
      <c r="A164" s="31"/>
      <c r="B164" s="31"/>
      <c r="C164" s="30" t="s">
        <v>81</v>
      </c>
      <c r="D164" s="31"/>
      <c r="E164" s="106">
        <f>ROUNDUP(21.8+17.3,1)</f>
        <v>39.1</v>
      </c>
      <c r="F164" s="39"/>
      <c r="G164" s="65"/>
      <c r="H164" s="66"/>
      <c r="I164" s="66"/>
    </row>
    <row r="165" spans="1:8" s="43" customFormat="1" ht="15" customHeight="1">
      <c r="A165" s="27"/>
      <c r="B165" s="27" t="s">
        <v>223</v>
      </c>
      <c r="C165" s="85" t="s">
        <v>224</v>
      </c>
      <c r="D165" s="86"/>
      <c r="E165" s="86"/>
      <c r="F165" s="87"/>
      <c r="G165" s="78"/>
      <c r="H165" s="26"/>
    </row>
    <row r="166" spans="1:8" s="43" customFormat="1" ht="15" customHeight="1">
      <c r="A166" s="27"/>
      <c r="B166" s="27" t="s">
        <v>225</v>
      </c>
      <c r="C166" s="85" t="s">
        <v>224</v>
      </c>
      <c r="D166" s="86"/>
      <c r="E166" s="86"/>
      <c r="F166" s="87"/>
      <c r="G166" s="78"/>
      <c r="H166" s="46"/>
    </row>
    <row r="167" spans="1:7" ht="30" customHeight="1">
      <c r="A167" s="29">
        <f>MAX($A$7:A166)+1</f>
        <v>47</v>
      </c>
      <c r="B167" s="29" t="s">
        <v>226</v>
      </c>
      <c r="C167" s="30" t="s">
        <v>227</v>
      </c>
      <c r="D167" s="31" t="s">
        <v>21</v>
      </c>
      <c r="E167" s="47">
        <f>2*8.3</f>
        <v>16.6</v>
      </c>
      <c r="F167" s="39">
        <f>E167</f>
        <v>16.6</v>
      </c>
      <c r="G167" s="65"/>
    </row>
    <row r="168" spans="1:7" ht="39" customHeight="1">
      <c r="A168" s="29">
        <f>MAX($A$7:A167)+1</f>
        <v>48</v>
      </c>
      <c r="B168" s="29" t="s">
        <v>228</v>
      </c>
      <c r="C168" s="30" t="s">
        <v>229</v>
      </c>
      <c r="D168" s="31" t="s">
        <v>38</v>
      </c>
      <c r="E168" s="47">
        <f>2*1417</f>
        <v>2834</v>
      </c>
      <c r="F168" s="39">
        <f>E168</f>
        <v>2834</v>
      </c>
      <c r="G168" s="65"/>
    </row>
    <row r="169" spans="1:12" ht="16.5" customHeight="1">
      <c r="A169" s="27"/>
      <c r="B169" s="27" t="s">
        <v>230</v>
      </c>
      <c r="C169" s="85" t="s">
        <v>231</v>
      </c>
      <c r="D169" s="86"/>
      <c r="E169" s="86"/>
      <c r="F169" s="107"/>
      <c r="G169" s="62"/>
      <c r="L169" s="108"/>
    </row>
    <row r="170" spans="1:8" ht="16.5" customHeight="1">
      <c r="A170" s="27"/>
      <c r="B170" s="27" t="s">
        <v>232</v>
      </c>
      <c r="C170" s="85" t="s">
        <v>231</v>
      </c>
      <c r="D170" s="86"/>
      <c r="E170" s="86"/>
      <c r="F170" s="87"/>
      <c r="G170" s="62"/>
      <c r="H170" s="46"/>
    </row>
    <row r="171" spans="1:7" ht="31.5" customHeight="1">
      <c r="A171" s="29">
        <f>MAX($A$7:A170)+1</f>
        <v>49</v>
      </c>
      <c r="B171" s="29" t="s">
        <v>233</v>
      </c>
      <c r="C171" s="109" t="s">
        <v>234</v>
      </c>
      <c r="D171" s="31" t="s">
        <v>52</v>
      </c>
      <c r="E171" s="47"/>
      <c r="F171" s="39">
        <f>SUM(E172:E173)</f>
        <v>82.19999999999999</v>
      </c>
      <c r="G171" s="65"/>
    </row>
    <row r="172" spans="1:7" ht="12.75">
      <c r="A172" s="29"/>
      <c r="B172" s="29"/>
      <c r="C172" s="30" t="s">
        <v>80</v>
      </c>
      <c r="D172" s="31"/>
      <c r="E172" s="47">
        <f>ROUNDUP((15+13)*1.31*1.1,1)</f>
        <v>40.4</v>
      </c>
      <c r="F172" s="39"/>
      <c r="G172" s="65"/>
    </row>
    <row r="173" spans="1:7" ht="12.75">
      <c r="A173" s="29"/>
      <c r="B173" s="29"/>
      <c r="C173" s="30" t="s">
        <v>81</v>
      </c>
      <c r="D173" s="31"/>
      <c r="E173" s="47">
        <f>ROUNDUP((15+14)*1.31*1.1,1)</f>
        <v>41.8</v>
      </c>
      <c r="F173" s="39"/>
      <c r="G173" s="65"/>
    </row>
    <row r="174" spans="1:7" ht="45" customHeight="1">
      <c r="A174" s="29">
        <f>MAX($A$7:A173)+1</f>
        <v>50</v>
      </c>
      <c r="B174" s="29" t="s">
        <v>235</v>
      </c>
      <c r="C174" s="109" t="s">
        <v>236</v>
      </c>
      <c r="D174" s="31" t="s">
        <v>21</v>
      </c>
      <c r="E174" s="47"/>
      <c r="F174" s="39">
        <f>SUM(E175:E176)</f>
        <v>10.1</v>
      </c>
      <c r="G174" s="65"/>
    </row>
    <row r="175" spans="1:7" ht="12.75">
      <c r="A175" s="29"/>
      <c r="B175" s="29"/>
      <c r="C175" s="30" t="s">
        <v>80</v>
      </c>
      <c r="D175" s="31"/>
      <c r="E175" s="47">
        <f>ROUNDUP((7+7.3)*0.32*1.1,1)</f>
        <v>5.1</v>
      </c>
      <c r="F175" s="39"/>
      <c r="G175" s="65"/>
    </row>
    <row r="176" spans="1:7" ht="12.75">
      <c r="A176" s="29"/>
      <c r="B176" s="29"/>
      <c r="C176" s="30" t="s">
        <v>81</v>
      </c>
      <c r="D176" s="31"/>
      <c r="E176" s="47">
        <f>ROUNDUP((6.7+7.3)*0.32*1.1,1)</f>
        <v>5</v>
      </c>
      <c r="F176" s="39"/>
      <c r="G176" s="65"/>
    </row>
    <row r="177" spans="1:7" ht="30" customHeight="1">
      <c r="A177" s="29">
        <f>MAX($A$7:A176)+1</f>
        <v>51</v>
      </c>
      <c r="B177" s="29" t="s">
        <v>237</v>
      </c>
      <c r="C177" s="109" t="s">
        <v>238</v>
      </c>
      <c r="D177" s="31" t="s">
        <v>38</v>
      </c>
      <c r="E177" s="47"/>
      <c r="F177" s="39">
        <f>SUM(E178:E179)</f>
        <v>544.8</v>
      </c>
      <c r="G177" s="65"/>
    </row>
    <row r="178" spans="1:7" ht="12.75">
      <c r="A178" s="29"/>
      <c r="B178" s="29"/>
      <c r="C178" s="30" t="s">
        <v>80</v>
      </c>
      <c r="D178" s="31"/>
      <c r="E178" s="47">
        <f>ROUNDUP((7+7.3)*17.5*1.1,1)</f>
        <v>275.3</v>
      </c>
      <c r="F178" s="39"/>
      <c r="G178" s="65"/>
    </row>
    <row r="179" spans="1:7" ht="12.75">
      <c r="A179" s="29"/>
      <c r="B179" s="29"/>
      <c r="C179" s="30" t="s">
        <v>81</v>
      </c>
      <c r="D179" s="31"/>
      <c r="E179" s="47">
        <f>ROUNDUP((6.7+7.3)*17.5*1.1,1)</f>
        <v>269.5</v>
      </c>
      <c r="F179" s="39"/>
      <c r="G179" s="65"/>
    </row>
    <row r="180" spans="1:7" ht="12.75">
      <c r="A180" s="27"/>
      <c r="B180" s="27" t="s">
        <v>239</v>
      </c>
      <c r="C180" s="85" t="s">
        <v>240</v>
      </c>
      <c r="D180" s="86"/>
      <c r="E180" s="86"/>
      <c r="F180" s="107"/>
      <c r="G180" s="62"/>
    </row>
    <row r="181" spans="1:8" ht="12.75">
      <c r="A181" s="27"/>
      <c r="B181" s="27" t="s">
        <v>241</v>
      </c>
      <c r="C181" s="85" t="s">
        <v>242</v>
      </c>
      <c r="D181" s="86"/>
      <c r="E181" s="86"/>
      <c r="F181" s="87"/>
      <c r="G181" s="62"/>
      <c r="H181" s="46"/>
    </row>
    <row r="182" spans="1:8" ht="23.25" customHeight="1">
      <c r="A182" s="29">
        <f>MAX($A$7:A181)+1</f>
        <v>52</v>
      </c>
      <c r="B182" s="29" t="s">
        <v>243</v>
      </c>
      <c r="C182" s="30" t="s">
        <v>244</v>
      </c>
      <c r="D182" s="31" t="s">
        <v>27</v>
      </c>
      <c r="E182" s="47"/>
      <c r="F182" s="39">
        <f>SUM(E183:E184)</f>
        <v>28.8</v>
      </c>
      <c r="G182" s="65"/>
      <c r="H182" s="66"/>
    </row>
    <row r="183" spans="1:8" ht="12.75">
      <c r="A183" s="29"/>
      <c r="B183" s="29"/>
      <c r="C183" s="30" t="s">
        <v>80</v>
      </c>
      <c r="D183" s="31"/>
      <c r="E183" s="47">
        <f>ROUNDUP((1.33+4.31*1.201+1.37+4.31*1.201)*1.1,1)</f>
        <v>14.4</v>
      </c>
      <c r="F183" s="39"/>
      <c r="G183" s="65"/>
      <c r="H183" s="66"/>
    </row>
    <row r="184" spans="1:8" ht="12.75">
      <c r="A184" s="29"/>
      <c r="B184" s="29"/>
      <c r="C184" s="30" t="s">
        <v>81</v>
      </c>
      <c r="D184" s="31"/>
      <c r="E184" s="47">
        <f>ROUNDUP((1.41+3.76*1.201+1.31+4.87*1.201)*1.1,1)</f>
        <v>14.4</v>
      </c>
      <c r="F184" s="39"/>
      <c r="G184" s="65"/>
      <c r="H184" s="66"/>
    </row>
    <row r="185" spans="1:7" s="43" customFormat="1" ht="15" customHeight="1">
      <c r="A185" s="27"/>
      <c r="B185" s="27" t="s">
        <v>245</v>
      </c>
      <c r="C185" s="23" t="s">
        <v>246</v>
      </c>
      <c r="D185" s="24"/>
      <c r="E185" s="24"/>
      <c r="F185" s="25"/>
      <c r="G185" s="101"/>
    </row>
    <row r="186" spans="1:8" s="43" customFormat="1" ht="15" customHeight="1">
      <c r="A186" s="27"/>
      <c r="B186" s="27" t="s">
        <v>247</v>
      </c>
      <c r="C186" s="23" t="s">
        <v>248</v>
      </c>
      <c r="D186" s="24"/>
      <c r="E186" s="24"/>
      <c r="F186" s="25"/>
      <c r="G186" s="101"/>
      <c r="H186" s="46"/>
    </row>
    <row r="187" spans="1:7" s="104" customFormat="1" ht="15" customHeight="1">
      <c r="A187" s="31">
        <f>MAX($A$7:A186)+1</f>
        <v>53</v>
      </c>
      <c r="B187" s="31" t="s">
        <v>249</v>
      </c>
      <c r="C187" s="68" t="s">
        <v>250</v>
      </c>
      <c r="D187" s="31" t="s">
        <v>27</v>
      </c>
      <c r="E187" s="106">
        <v>18.3</v>
      </c>
      <c r="F187" s="110">
        <f>SUM(E187)</f>
        <v>18.3</v>
      </c>
      <c r="G187" s="103"/>
    </row>
    <row r="188" spans="1:8" s="43" customFormat="1" ht="15" customHeight="1">
      <c r="A188" s="27"/>
      <c r="B188" s="27" t="s">
        <v>251</v>
      </c>
      <c r="C188" s="111" t="s">
        <v>252</v>
      </c>
      <c r="D188" s="24"/>
      <c r="E188" s="24"/>
      <c r="F188" s="25"/>
      <c r="G188" s="101"/>
      <c r="H188" s="46"/>
    </row>
    <row r="189" spans="1:9" s="105" customFormat="1" ht="30" customHeight="1">
      <c r="A189" s="31">
        <f>MAX($A$7:A188)+1</f>
        <v>54</v>
      </c>
      <c r="B189" s="31" t="s">
        <v>253</v>
      </c>
      <c r="C189" s="68" t="s">
        <v>254</v>
      </c>
      <c r="D189" s="31" t="s">
        <v>21</v>
      </c>
      <c r="E189" s="106">
        <f>ROUNDUP(((123+1.201*(22+35))*1.1)*0.225,1)</f>
        <v>47.4</v>
      </c>
      <c r="F189" s="110">
        <f>SUM(E189)</f>
        <v>47.4</v>
      </c>
      <c r="G189" s="103"/>
      <c r="H189" s="104"/>
      <c r="I189" s="104"/>
    </row>
    <row r="190" spans="1:7" s="43" customFormat="1" ht="15" customHeight="1">
      <c r="A190" s="90"/>
      <c r="B190" s="90" t="s">
        <v>255</v>
      </c>
      <c r="C190" s="18" t="s">
        <v>256</v>
      </c>
      <c r="D190" s="112"/>
      <c r="E190" s="112"/>
      <c r="F190" s="113"/>
      <c r="G190" s="78"/>
    </row>
    <row r="191" spans="1:8" s="43" customFormat="1" ht="15" customHeight="1">
      <c r="A191" s="27"/>
      <c r="B191" s="27" t="s">
        <v>257</v>
      </c>
      <c r="C191" s="23" t="s">
        <v>258</v>
      </c>
      <c r="D191" s="114"/>
      <c r="E191" s="114"/>
      <c r="F191" s="115"/>
      <c r="G191" s="78"/>
      <c r="H191" s="26"/>
    </row>
    <row r="192" spans="1:8" s="43" customFormat="1" ht="15" customHeight="1">
      <c r="A192" s="27"/>
      <c r="B192" s="27" t="s">
        <v>259</v>
      </c>
      <c r="C192" s="23" t="s">
        <v>260</v>
      </c>
      <c r="D192" s="114"/>
      <c r="E192" s="114"/>
      <c r="F192" s="115"/>
      <c r="G192" s="78"/>
      <c r="H192" s="46"/>
    </row>
    <row r="193" spans="1:8" s="43" customFormat="1" ht="12.75">
      <c r="A193" s="29">
        <f>MAX($A$7:A192)+1</f>
        <v>55</v>
      </c>
      <c r="B193" s="29" t="s">
        <v>261</v>
      </c>
      <c r="C193" s="30" t="s">
        <v>262</v>
      </c>
      <c r="D193" s="31" t="s">
        <v>52</v>
      </c>
      <c r="E193" s="47">
        <f>ROUNDUP(11.64*6.07,1)</f>
        <v>70.7</v>
      </c>
      <c r="F193" s="39">
        <f>E193</f>
        <v>70.7</v>
      </c>
      <c r="G193" s="65"/>
      <c r="H193" s="49"/>
    </row>
    <row r="194" spans="1:8" s="43" customFormat="1" ht="12.75">
      <c r="A194" s="29">
        <f>MAX($A$7:A193)+1</f>
        <v>56</v>
      </c>
      <c r="B194" s="29" t="s">
        <v>263</v>
      </c>
      <c r="C194" s="30" t="s">
        <v>264</v>
      </c>
      <c r="D194" s="31" t="s">
        <v>27</v>
      </c>
      <c r="E194" s="47">
        <f>ROUNDUP(11.64*2,1)</f>
        <v>23.3</v>
      </c>
      <c r="F194" s="39">
        <f>E194</f>
        <v>23.3</v>
      </c>
      <c r="G194" s="65"/>
      <c r="H194" s="49"/>
    </row>
    <row r="195" spans="1:8" s="43" customFormat="1" ht="15" customHeight="1">
      <c r="A195" s="27"/>
      <c r="B195" s="27" t="s">
        <v>265</v>
      </c>
      <c r="C195" s="116" t="s">
        <v>266</v>
      </c>
      <c r="D195" s="114"/>
      <c r="E195" s="115"/>
      <c r="F195" s="117"/>
      <c r="G195" s="78"/>
      <c r="H195" s="46"/>
    </row>
    <row r="196" spans="1:8" s="43" customFormat="1" ht="12.75">
      <c r="A196" s="29">
        <f>MAX($A$7:A195)+1</f>
        <v>57</v>
      </c>
      <c r="B196" s="29" t="s">
        <v>267</v>
      </c>
      <c r="C196" s="30" t="s">
        <v>268</v>
      </c>
      <c r="D196" s="31" t="s">
        <v>52</v>
      </c>
      <c r="E196" s="47">
        <f>ROUNDUP(11.64*6.07,1)</f>
        <v>70.7</v>
      </c>
      <c r="F196" s="39">
        <f>E196</f>
        <v>70.7</v>
      </c>
      <c r="G196" s="65"/>
      <c r="H196" s="49"/>
    </row>
    <row r="197" spans="1:8" s="43" customFormat="1" ht="12.75">
      <c r="A197" s="29">
        <f>MAX($A$7:A196)+1</f>
        <v>58</v>
      </c>
      <c r="B197" s="29" t="s">
        <v>269</v>
      </c>
      <c r="C197" s="30" t="s">
        <v>264</v>
      </c>
      <c r="D197" s="31" t="s">
        <v>27</v>
      </c>
      <c r="E197" s="47">
        <f>ROUNDUP(11.64*2,1)</f>
        <v>23.3</v>
      </c>
      <c r="F197" s="39">
        <f>E197</f>
        <v>23.3</v>
      </c>
      <c r="G197" s="65"/>
      <c r="H197" s="49"/>
    </row>
    <row r="198" spans="1:8" s="43" customFormat="1" ht="15" customHeight="1">
      <c r="A198" s="27"/>
      <c r="B198" s="27" t="s">
        <v>270</v>
      </c>
      <c r="C198" s="116" t="s">
        <v>271</v>
      </c>
      <c r="D198" s="114"/>
      <c r="E198" s="114"/>
      <c r="F198" s="115"/>
      <c r="G198" s="78"/>
      <c r="H198" s="26"/>
    </row>
    <row r="199" spans="1:8" s="43" customFormat="1" ht="15" customHeight="1">
      <c r="A199" s="27"/>
      <c r="B199" s="27" t="s">
        <v>272</v>
      </c>
      <c r="C199" s="116" t="s">
        <v>273</v>
      </c>
      <c r="D199" s="114"/>
      <c r="E199" s="114"/>
      <c r="F199" s="115"/>
      <c r="G199" s="78"/>
      <c r="H199" s="46"/>
    </row>
    <row r="200" spans="1:7" ht="12.75">
      <c r="A200" s="29">
        <f>MAX($A$7:A199)+1</f>
        <v>59</v>
      </c>
      <c r="B200" s="29" t="s">
        <v>274</v>
      </c>
      <c r="C200" s="30" t="s">
        <v>275</v>
      </c>
      <c r="D200" s="31" t="s">
        <v>52</v>
      </c>
      <c r="E200" s="47">
        <f>ROUNDUP(2*17.24*1,1)</f>
        <v>34.5</v>
      </c>
      <c r="F200" s="39">
        <f>E200</f>
        <v>34.5</v>
      </c>
      <c r="G200" s="65"/>
    </row>
    <row r="201" spans="1:7" ht="12.75">
      <c r="A201" s="29">
        <f>MAX($A$7:A200)+1</f>
        <v>60</v>
      </c>
      <c r="B201" s="29" t="s">
        <v>276</v>
      </c>
      <c r="C201" s="30" t="s">
        <v>277</v>
      </c>
      <c r="D201" s="31" t="s">
        <v>27</v>
      </c>
      <c r="E201" s="47">
        <f>ROUNDUP(2*17.24,1)</f>
        <v>34.5</v>
      </c>
      <c r="F201" s="39">
        <f>E201</f>
        <v>34.5</v>
      </c>
      <c r="G201" s="65"/>
    </row>
    <row r="202" spans="1:8" s="43" customFormat="1" ht="15" customHeight="1">
      <c r="A202" s="27"/>
      <c r="B202" s="27" t="s">
        <v>278</v>
      </c>
      <c r="C202" s="23" t="s">
        <v>279</v>
      </c>
      <c r="D202" s="114"/>
      <c r="E202" s="114"/>
      <c r="F202" s="115"/>
      <c r="G202" s="78"/>
      <c r="H202" s="26"/>
    </row>
    <row r="203" spans="1:8" s="43" customFormat="1" ht="15" customHeight="1">
      <c r="A203" s="27"/>
      <c r="B203" s="27" t="s">
        <v>280</v>
      </c>
      <c r="C203" s="69" t="s">
        <v>281</v>
      </c>
      <c r="D203" s="118"/>
      <c r="E203" s="118"/>
      <c r="F203" s="119"/>
      <c r="G203" s="78"/>
      <c r="H203" s="46"/>
    </row>
    <row r="204" spans="1:8" s="43" customFormat="1" ht="15" customHeight="1">
      <c r="A204" s="27"/>
      <c r="B204" s="27"/>
      <c r="C204" s="72" t="s">
        <v>282</v>
      </c>
      <c r="D204" s="120"/>
      <c r="E204" s="120"/>
      <c r="F204" s="121"/>
      <c r="G204" s="78"/>
      <c r="H204" s="46"/>
    </row>
    <row r="205" spans="1:7" s="67" customFormat="1" ht="30" customHeight="1">
      <c r="A205" s="29">
        <f>MAX($A$7:A203)+1</f>
        <v>61</v>
      </c>
      <c r="B205" s="29" t="s">
        <v>283</v>
      </c>
      <c r="C205" s="122" t="s">
        <v>284</v>
      </c>
      <c r="D205" s="31" t="s">
        <v>52</v>
      </c>
      <c r="E205" s="123"/>
      <c r="F205" s="39">
        <f>SUM(E206:E208)</f>
        <v>124.2</v>
      </c>
      <c r="G205" s="124"/>
    </row>
    <row r="206" spans="1:8" s="11" customFormat="1" ht="12.75">
      <c r="A206" s="29"/>
      <c r="B206" s="29"/>
      <c r="C206" s="30" t="s">
        <v>80</v>
      </c>
      <c r="D206" s="31"/>
      <c r="E206" s="40">
        <f>ROUNDUP((2*5+2.4*7.35+2*0.15*3.1)*1.1,1)</f>
        <v>31.5</v>
      </c>
      <c r="F206" s="39"/>
      <c r="G206" s="45"/>
      <c r="H206" s="26"/>
    </row>
    <row r="207" spans="1:8" s="11" customFormat="1" ht="12.75">
      <c r="A207" s="29"/>
      <c r="B207" s="29"/>
      <c r="C207" s="30" t="s">
        <v>81</v>
      </c>
      <c r="D207" s="31"/>
      <c r="E207" s="40">
        <f>ROUNDUP((2*5+2.4*7.35+2*0.15*3.1)*1.1,1)</f>
        <v>31.5</v>
      </c>
      <c r="F207" s="39"/>
      <c r="G207" s="45"/>
      <c r="H207" s="26"/>
    </row>
    <row r="208" spans="1:8" s="11" customFormat="1" ht="12.75">
      <c r="A208" s="29"/>
      <c r="B208" s="29"/>
      <c r="C208" s="30" t="s">
        <v>285</v>
      </c>
      <c r="D208" s="31"/>
      <c r="E208" s="40">
        <f>ROUNDUP((5.05*11)*1.1,1)</f>
        <v>61.2</v>
      </c>
      <c r="F208" s="39"/>
      <c r="G208" s="45"/>
      <c r="H208" s="26"/>
    </row>
    <row r="209" spans="1:7" s="12" customFormat="1" ht="12.75">
      <c r="A209" s="1"/>
      <c r="B209" s="2"/>
      <c r="C209" s="3"/>
      <c r="D209" s="1"/>
      <c r="E209" s="4"/>
      <c r="F209" s="5"/>
      <c r="G209" s="54"/>
    </row>
    <row r="210" spans="1:7" s="12" customFormat="1" ht="12.75">
      <c r="A210" s="1"/>
      <c r="B210" s="2"/>
      <c r="C210" s="3"/>
      <c r="D210" s="1"/>
      <c r="E210" s="4"/>
      <c r="F210" s="5"/>
      <c r="G210" s="62"/>
    </row>
    <row r="211" spans="1:7" s="12" customFormat="1" ht="12.75">
      <c r="A211" s="1"/>
      <c r="B211" s="2"/>
      <c r="C211" s="3"/>
      <c r="D211" s="1"/>
      <c r="E211" s="4"/>
      <c r="F211" s="5"/>
      <c r="G211" s="62"/>
    </row>
    <row r="212" spans="1:7" s="12" customFormat="1" ht="39.75" customHeight="1">
      <c r="A212" s="1"/>
      <c r="B212" s="2"/>
      <c r="C212" s="3"/>
      <c r="D212" s="1"/>
      <c r="E212" s="4"/>
      <c r="F212" s="5"/>
      <c r="G212" s="62"/>
    </row>
    <row r="213" spans="1:7" s="12" customFormat="1" ht="12.75">
      <c r="A213" s="1"/>
      <c r="B213" s="2"/>
      <c r="C213" s="3"/>
      <c r="D213" s="1"/>
      <c r="E213" s="4"/>
      <c r="F213" s="5"/>
      <c r="G213" s="124"/>
    </row>
    <row r="214" spans="1:7" s="12" customFormat="1" ht="12.75">
      <c r="A214" s="1"/>
      <c r="B214" s="2"/>
      <c r="C214" s="3"/>
      <c r="D214" s="1"/>
      <c r="E214" s="4"/>
      <c r="F214" s="5"/>
      <c r="G214" s="124"/>
    </row>
    <row r="215" spans="1:7" s="12" customFormat="1" ht="15" customHeight="1">
      <c r="A215" s="1"/>
      <c r="B215" s="2"/>
      <c r="C215" s="3"/>
      <c r="D215" s="1"/>
      <c r="E215" s="4"/>
      <c r="F215" s="5"/>
      <c r="G215" s="124"/>
    </row>
    <row r="216" spans="1:7" s="12" customFormat="1" ht="12.75">
      <c r="A216" s="1"/>
      <c r="B216" s="2"/>
      <c r="C216" s="3"/>
      <c r="D216" s="1"/>
      <c r="E216" s="4"/>
      <c r="F216" s="5"/>
      <c r="G216" s="124"/>
    </row>
    <row r="217" spans="1:7" s="55" customFormat="1" ht="30" customHeight="1">
      <c r="A217" s="1"/>
      <c r="B217" s="2"/>
      <c r="C217" s="3"/>
      <c r="D217" s="1"/>
      <c r="E217" s="4"/>
      <c r="F217" s="5"/>
      <c r="G217" s="124"/>
    </row>
    <row r="218" spans="1:7" s="55" customFormat="1" ht="12.75">
      <c r="A218" s="1"/>
      <c r="B218" s="2"/>
      <c r="C218" s="3"/>
      <c r="D218" s="1"/>
      <c r="E218" s="4"/>
      <c r="F218" s="5"/>
      <c r="G218" s="124"/>
    </row>
    <row r="219" spans="1:7" s="55" customFormat="1" ht="12.75">
      <c r="A219" s="1"/>
      <c r="B219" s="2"/>
      <c r="C219" s="3"/>
      <c r="D219" s="1"/>
      <c r="E219" s="4"/>
      <c r="F219" s="5"/>
      <c r="G219" s="62"/>
    </row>
    <row r="220" spans="1:7" s="55" customFormat="1" ht="12.75">
      <c r="A220" s="1"/>
      <c r="B220" s="2"/>
      <c r="C220" s="3"/>
      <c r="D220" s="1"/>
      <c r="E220" s="4"/>
      <c r="F220" s="5"/>
      <c r="G220" s="62"/>
    </row>
    <row r="221" spans="1:7" s="55" customFormat="1" ht="12.75">
      <c r="A221" s="1"/>
      <c r="B221" s="2"/>
      <c r="C221" s="3"/>
      <c r="D221" s="1"/>
      <c r="E221" s="4"/>
      <c r="F221" s="5"/>
      <c r="G221" s="62"/>
    </row>
    <row r="222" spans="1:7" s="55" customFormat="1" ht="15" customHeight="1">
      <c r="A222" s="1"/>
      <c r="B222" s="2"/>
      <c r="C222" s="3"/>
      <c r="D222" s="1"/>
      <c r="E222" s="4"/>
      <c r="F222" s="5"/>
      <c r="G222" s="62"/>
    </row>
    <row r="223" spans="1:7" s="55" customFormat="1" ht="15" customHeight="1">
      <c r="A223" s="1"/>
      <c r="B223" s="2"/>
      <c r="C223" s="3"/>
      <c r="D223" s="1"/>
      <c r="E223" s="4"/>
      <c r="F223" s="5"/>
      <c r="G223" s="62"/>
    </row>
    <row r="224" spans="1:7" s="55" customFormat="1" ht="12.75">
      <c r="A224" s="1"/>
      <c r="B224" s="2"/>
      <c r="C224" s="3"/>
      <c r="D224" s="1"/>
      <c r="E224" s="4"/>
      <c r="F224" s="5"/>
      <c r="G224" s="62"/>
    </row>
    <row r="225" spans="7:9" ht="15" customHeight="1">
      <c r="G225" s="62"/>
      <c r="H225" s="55"/>
      <c r="I225" s="55"/>
    </row>
    <row r="226" spans="7:8" ht="15" customHeight="1">
      <c r="G226" s="124"/>
      <c r="H226" s="26"/>
    </row>
    <row r="227" ht="15" customHeight="1">
      <c r="G227" s="124"/>
    </row>
    <row r="228" spans="1:7" s="67" customFormat="1" ht="30" customHeight="1">
      <c r="A228" s="1"/>
      <c r="B228" s="2"/>
      <c r="C228" s="3"/>
      <c r="D228" s="1"/>
      <c r="E228" s="4"/>
      <c r="F228" s="5"/>
      <c r="G228" s="124"/>
    </row>
    <row r="229" spans="1:7" s="67" customFormat="1" ht="12.75">
      <c r="A229" s="1"/>
      <c r="B229" s="2"/>
      <c r="C229" s="3"/>
      <c r="D229" s="1"/>
      <c r="E229" s="4"/>
      <c r="F229" s="5"/>
      <c r="G229" s="62"/>
    </row>
    <row r="230" spans="1:7" s="67" customFormat="1" ht="12.75">
      <c r="A230" s="1"/>
      <c r="B230" s="2"/>
      <c r="C230" s="3"/>
      <c r="D230" s="1"/>
      <c r="E230" s="4"/>
      <c r="F230" s="5"/>
      <c r="G230" s="124"/>
    </row>
    <row r="231" spans="1:7" s="67" customFormat="1" ht="39.75" customHeight="1">
      <c r="A231" s="1"/>
      <c r="B231" s="2"/>
      <c r="C231" s="3"/>
      <c r="D231" s="1"/>
      <c r="E231" s="4"/>
      <c r="F231" s="5"/>
      <c r="G231" s="124"/>
    </row>
    <row r="232" spans="1:7" s="67" customFormat="1" ht="12.75">
      <c r="A232" s="1"/>
      <c r="B232" s="2"/>
      <c r="C232" s="3"/>
      <c r="D232" s="1"/>
      <c r="E232" s="4"/>
      <c r="F232" s="5"/>
      <c r="G232" s="124"/>
    </row>
    <row r="233" spans="1:7" s="67" customFormat="1" ht="12.75">
      <c r="A233" s="1"/>
      <c r="B233" s="2"/>
      <c r="C233" s="3"/>
      <c r="D233" s="1"/>
      <c r="E233" s="4"/>
      <c r="F233" s="5"/>
      <c r="G233" s="124"/>
    </row>
    <row r="234" ht="15.75" customHeight="1">
      <c r="G234" s="124"/>
    </row>
    <row r="235" ht="15" customHeight="1">
      <c r="G235" s="124"/>
    </row>
    <row r="236" ht="15" customHeight="1">
      <c r="G236" s="78"/>
    </row>
    <row r="237" ht="15" customHeight="1">
      <c r="G237" s="78"/>
    </row>
    <row r="238" ht="24" customHeight="1">
      <c r="G238" s="62"/>
    </row>
    <row r="239" ht="19.5" customHeight="1">
      <c r="G239" s="62"/>
    </row>
    <row r="240" ht="19.5" customHeight="1">
      <c r="G240" s="62"/>
    </row>
    <row r="241" spans="1:7" s="67" customFormat="1" ht="30" customHeight="1">
      <c r="A241" s="1"/>
      <c r="B241" s="2"/>
      <c r="C241" s="3"/>
      <c r="D241" s="1"/>
      <c r="E241" s="4"/>
      <c r="F241" s="5"/>
      <c r="G241" s="62"/>
    </row>
    <row r="242" spans="1:7" s="67" customFormat="1" ht="15" customHeight="1">
      <c r="A242" s="1"/>
      <c r="B242" s="2"/>
      <c r="C242" s="3"/>
      <c r="D242" s="1"/>
      <c r="E242" s="4"/>
      <c r="F242" s="5"/>
      <c r="G242" s="62"/>
    </row>
    <row r="243" spans="1:7" s="67" customFormat="1" ht="15" customHeight="1">
      <c r="A243" s="1"/>
      <c r="B243" s="2"/>
      <c r="C243" s="3"/>
      <c r="D243" s="1"/>
      <c r="E243" s="4"/>
      <c r="F243" s="5"/>
      <c r="G243" s="62"/>
    </row>
    <row r="244" ht="15" customHeight="1">
      <c r="G244" s="124"/>
    </row>
    <row r="245" spans="1:7" s="67" customFormat="1" ht="19.5" customHeight="1">
      <c r="A245" s="1"/>
      <c r="B245" s="2"/>
      <c r="C245" s="3"/>
      <c r="D245" s="1"/>
      <c r="E245" s="4"/>
      <c r="F245" s="5"/>
      <c r="G245" s="124"/>
    </row>
    <row r="246" spans="1:7" s="67" customFormat="1" ht="12.75">
      <c r="A246" s="1"/>
      <c r="B246" s="2"/>
      <c r="C246" s="3"/>
      <c r="D246" s="1"/>
      <c r="E246" s="4"/>
      <c r="F246" s="5"/>
      <c r="G246" s="124"/>
    </row>
    <row r="247" spans="1:7" s="67" customFormat="1" ht="12.75">
      <c r="A247" s="1"/>
      <c r="B247" s="2"/>
      <c r="C247" s="3"/>
      <c r="D247" s="1"/>
      <c r="E247" s="4"/>
      <c r="F247" s="5"/>
      <c r="G247" s="78"/>
    </row>
    <row r="248" spans="1:7" s="67" customFormat="1" ht="30" customHeight="1">
      <c r="A248" s="1"/>
      <c r="B248" s="2"/>
      <c r="C248" s="3"/>
      <c r="D248" s="1"/>
      <c r="E248" s="4"/>
      <c r="F248" s="5"/>
      <c r="G248" s="78"/>
    </row>
    <row r="249" spans="1:7" s="67" customFormat="1" ht="12.75">
      <c r="A249" s="1"/>
      <c r="B249" s="2"/>
      <c r="C249" s="3"/>
      <c r="D249" s="1"/>
      <c r="E249" s="4"/>
      <c r="F249" s="5"/>
      <c r="G249" s="78"/>
    </row>
    <row r="250" spans="1:7" s="67" customFormat="1" ht="12.75">
      <c r="A250" s="1"/>
      <c r="B250" s="2"/>
      <c r="C250" s="3"/>
      <c r="D250" s="1"/>
      <c r="E250" s="4"/>
      <c r="F250" s="5"/>
      <c r="G250" s="62"/>
    </row>
    <row r="251" spans="1:8" s="43" customFormat="1" ht="24" customHeight="1">
      <c r="A251" s="1"/>
      <c r="B251" s="2"/>
      <c r="C251" s="3"/>
      <c r="D251" s="1"/>
      <c r="E251" s="4"/>
      <c r="F251" s="5"/>
      <c r="G251" s="62"/>
      <c r="H251" s="26"/>
    </row>
    <row r="252" spans="1:7" s="43" customFormat="1" ht="22.5" customHeight="1">
      <c r="A252" s="1"/>
      <c r="B252" s="2"/>
      <c r="C252" s="3"/>
      <c r="D252" s="1"/>
      <c r="E252" s="4"/>
      <c r="F252" s="5"/>
      <c r="G252" s="62"/>
    </row>
    <row r="253" ht="38.25" customHeight="1">
      <c r="G253" s="62"/>
    </row>
    <row r="254" ht="12.75">
      <c r="G254" s="62"/>
    </row>
    <row r="255" ht="15" customHeight="1">
      <c r="G255" s="62"/>
    </row>
    <row r="256" ht="15" customHeight="1">
      <c r="G256" s="78"/>
    </row>
    <row r="257" ht="15" customHeight="1">
      <c r="G257" s="78"/>
    </row>
    <row r="258" ht="15" customHeight="1">
      <c r="G258" s="62"/>
    </row>
    <row r="259" spans="1:7" s="67" customFormat="1" ht="30" customHeight="1">
      <c r="A259" s="1"/>
      <c r="B259" s="2"/>
      <c r="C259" s="3"/>
      <c r="D259" s="1"/>
      <c r="E259" s="4"/>
      <c r="F259" s="5"/>
      <c r="G259" s="62"/>
    </row>
    <row r="260" spans="1:7" s="67" customFormat="1" ht="12.75">
      <c r="A260" s="1"/>
      <c r="B260" s="2"/>
      <c r="C260" s="3"/>
      <c r="D260" s="1"/>
      <c r="E260" s="4"/>
      <c r="F260" s="5"/>
      <c r="G260" s="62"/>
    </row>
    <row r="261" spans="1:7" s="67" customFormat="1" ht="12.75">
      <c r="A261" s="1"/>
      <c r="B261" s="2"/>
      <c r="C261" s="3"/>
      <c r="D261" s="1"/>
      <c r="E261" s="4"/>
      <c r="F261" s="5"/>
      <c r="G261" s="62"/>
    </row>
    <row r="262" spans="1:7" s="43" customFormat="1" ht="15" customHeight="1">
      <c r="A262" s="1"/>
      <c r="B262" s="2"/>
      <c r="C262" s="3"/>
      <c r="D262" s="1"/>
      <c r="E262" s="4"/>
      <c r="F262" s="5"/>
      <c r="G262" s="78"/>
    </row>
    <row r="263" spans="1:8" s="43" customFormat="1" ht="15" customHeight="1">
      <c r="A263" s="1"/>
      <c r="B263" s="2"/>
      <c r="C263" s="3"/>
      <c r="D263" s="1"/>
      <c r="E263" s="4"/>
      <c r="F263" s="5"/>
      <c r="G263" s="78"/>
      <c r="H263" s="26"/>
    </row>
    <row r="264" spans="1:7" s="43" customFormat="1" ht="15" customHeight="1">
      <c r="A264" s="1"/>
      <c r="B264" s="2"/>
      <c r="C264" s="3"/>
      <c r="D264" s="1"/>
      <c r="E264" s="4"/>
      <c r="F264" s="5"/>
      <c r="G264" s="78"/>
    </row>
    <row r="265" ht="30" customHeight="1">
      <c r="G265" s="37"/>
    </row>
    <row r="266" ht="30" customHeight="1">
      <c r="G266" s="37"/>
    </row>
    <row r="267" ht="30" customHeight="1">
      <c r="G267" s="37"/>
    </row>
    <row r="268" ht="30" customHeight="1">
      <c r="G268" s="62"/>
    </row>
    <row r="269" spans="7:10" ht="26.25" customHeight="1">
      <c r="G269" s="78"/>
      <c r="H269" s="125"/>
      <c r="I269" s="126"/>
      <c r="J269" s="127"/>
    </row>
    <row r="270" ht="12.75">
      <c r="G270" s="78"/>
    </row>
    <row r="271" spans="1:8" s="43" customFormat="1" ht="15" customHeight="1">
      <c r="A271" s="1"/>
      <c r="B271" s="2"/>
      <c r="C271" s="3"/>
      <c r="D271" s="1"/>
      <c r="E271" s="4"/>
      <c r="F271" s="5"/>
      <c r="G271" s="78"/>
      <c r="H271" s="26"/>
    </row>
    <row r="272" spans="1:7" s="43" customFormat="1" ht="15" customHeight="1">
      <c r="A272" s="1"/>
      <c r="B272" s="2"/>
      <c r="C272" s="3"/>
      <c r="D272" s="1"/>
      <c r="E272" s="4"/>
      <c r="F272" s="5"/>
      <c r="G272" s="62"/>
    </row>
    <row r="273" ht="15" customHeight="1">
      <c r="G273" s="62"/>
    </row>
    <row r="274" ht="12.75">
      <c r="G274" s="62"/>
    </row>
    <row r="275" ht="15" customHeight="1">
      <c r="G275" s="62"/>
    </row>
    <row r="276" ht="15" customHeight="1">
      <c r="G276" s="78"/>
    </row>
    <row r="277" spans="1:7" s="43" customFormat="1" ht="15" customHeight="1">
      <c r="A277" s="1"/>
      <c r="B277" s="2"/>
      <c r="C277" s="3"/>
      <c r="D277" s="1"/>
      <c r="E277" s="4"/>
      <c r="F277" s="5"/>
      <c r="G277" s="78"/>
    </row>
    <row r="278" spans="1:8" s="43" customFormat="1" ht="15" customHeight="1">
      <c r="A278" s="1"/>
      <c r="B278" s="2"/>
      <c r="C278" s="3"/>
      <c r="D278" s="1"/>
      <c r="E278" s="4"/>
      <c r="F278" s="5"/>
      <c r="G278" s="78"/>
      <c r="H278" s="26"/>
    </row>
    <row r="279" spans="1:7" s="43" customFormat="1" ht="15" customHeight="1">
      <c r="A279" s="1"/>
      <c r="B279" s="2"/>
      <c r="C279" s="3"/>
      <c r="D279" s="1"/>
      <c r="E279" s="4"/>
      <c r="F279" s="5"/>
      <c r="G279" s="62"/>
    </row>
    <row r="280" spans="7:9" ht="30" customHeight="1">
      <c r="G280" s="62"/>
      <c r="H280" s="128"/>
      <c r="I280" s="129"/>
    </row>
    <row r="281" spans="7:9" ht="15" customHeight="1">
      <c r="G281" s="78"/>
      <c r="H281" s="128"/>
      <c r="I281" s="129"/>
    </row>
    <row r="282" spans="7:9" ht="12.75">
      <c r="G282" s="62"/>
      <c r="H282" s="128"/>
      <c r="I282" s="129"/>
    </row>
    <row r="283" spans="7:8" ht="12.75">
      <c r="G283" s="62"/>
      <c r="H283" s="128"/>
    </row>
    <row r="284" spans="1:7" s="43" customFormat="1" ht="15" customHeight="1">
      <c r="A284" s="1"/>
      <c r="B284" s="2"/>
      <c r="C284" s="3"/>
      <c r="D284" s="1"/>
      <c r="E284" s="4"/>
      <c r="F284" s="5"/>
      <c r="G284" s="78"/>
    </row>
    <row r="285" spans="1:8" s="43" customFormat="1" ht="15" customHeight="1">
      <c r="A285" s="1"/>
      <c r="B285" s="2"/>
      <c r="C285" s="3"/>
      <c r="D285" s="1"/>
      <c r="E285" s="4"/>
      <c r="F285" s="5"/>
      <c r="G285" s="62"/>
      <c r="H285" s="26"/>
    </row>
    <row r="286" spans="1:7" s="43" customFormat="1" ht="15" customHeight="1">
      <c r="A286" s="1"/>
      <c r="B286" s="2"/>
      <c r="C286" s="3"/>
      <c r="D286" s="1"/>
      <c r="E286" s="4"/>
      <c r="F286" s="5"/>
      <c r="G286" s="78"/>
    </row>
    <row r="287" spans="7:8" ht="12.75">
      <c r="G287" s="78"/>
      <c r="H287" s="128"/>
    </row>
    <row r="288" spans="7:8" ht="12.75">
      <c r="G288" s="62"/>
      <c r="H288" s="128"/>
    </row>
    <row r="289" spans="7:8" ht="12.75">
      <c r="G289" s="62"/>
      <c r="H289" s="128"/>
    </row>
    <row r="290" spans="7:8" ht="12.75">
      <c r="G290" s="78"/>
      <c r="H290" s="128"/>
    </row>
    <row r="291" spans="1:7" s="43" customFormat="1" ht="15" customHeight="1">
      <c r="A291" s="1"/>
      <c r="B291" s="2"/>
      <c r="C291" s="3"/>
      <c r="D291" s="1"/>
      <c r="E291" s="4"/>
      <c r="F291" s="5"/>
      <c r="G291" s="62"/>
    </row>
    <row r="292" spans="1:8" s="43" customFormat="1" ht="15" customHeight="1">
      <c r="A292" s="1"/>
      <c r="B292" s="2"/>
      <c r="C292" s="3"/>
      <c r="D292" s="1"/>
      <c r="E292" s="4"/>
      <c r="F292" s="5"/>
      <c r="G292" s="62"/>
      <c r="H292" s="26"/>
    </row>
    <row r="293" spans="1:7" s="43" customFormat="1" ht="15" customHeight="1">
      <c r="A293" s="1"/>
      <c r="B293" s="2"/>
      <c r="C293" s="3"/>
      <c r="D293" s="1"/>
      <c r="E293" s="4"/>
      <c r="F293" s="5"/>
      <c r="G293" s="78"/>
    </row>
    <row r="294" ht="12.75">
      <c r="G294" s="78"/>
    </row>
    <row r="295" ht="12.75">
      <c r="G295" s="78"/>
    </row>
    <row r="296" spans="1:7" s="43" customFormat="1" ht="15" customHeight="1">
      <c r="A296" s="1"/>
      <c r="B296" s="2"/>
      <c r="C296" s="3"/>
      <c r="D296" s="1"/>
      <c r="E296" s="4"/>
      <c r="F296" s="5"/>
      <c r="G296" s="124"/>
    </row>
    <row r="297" ht="12.75">
      <c r="G297" s="124"/>
    </row>
    <row r="298" ht="12.75">
      <c r="G298" s="124"/>
    </row>
    <row r="299" spans="1:7" s="43" customFormat="1" ht="15" customHeight="1">
      <c r="A299" s="1"/>
      <c r="B299" s="2"/>
      <c r="C299" s="3"/>
      <c r="D299" s="1"/>
      <c r="E299" s="4"/>
      <c r="F299" s="5"/>
      <c r="G299" s="124"/>
    </row>
    <row r="300" ht="12.75">
      <c r="G300" s="124"/>
    </row>
    <row r="301" spans="1:8" s="43" customFormat="1" ht="15" customHeight="1">
      <c r="A301" s="1"/>
      <c r="B301" s="2"/>
      <c r="C301" s="3"/>
      <c r="D301" s="1"/>
      <c r="E301" s="4"/>
      <c r="F301" s="5"/>
      <c r="G301" s="124"/>
      <c r="H301" s="26"/>
    </row>
    <row r="302" spans="1:7" s="43" customFormat="1" ht="15" customHeight="1">
      <c r="A302" s="1"/>
      <c r="B302" s="2"/>
      <c r="C302" s="3"/>
      <c r="D302" s="1"/>
      <c r="E302" s="4"/>
      <c r="F302" s="5"/>
      <c r="G302" s="124"/>
    </row>
    <row r="303" ht="30" customHeight="1">
      <c r="G303" s="124"/>
    </row>
    <row r="304" ht="30" customHeight="1">
      <c r="G304" s="124"/>
    </row>
    <row r="305" spans="1:7" s="43" customFormat="1" ht="15" customHeight="1">
      <c r="A305" s="1"/>
      <c r="B305" s="2"/>
      <c r="C305" s="3"/>
      <c r="D305" s="1"/>
      <c r="E305" s="4"/>
      <c r="F305" s="5"/>
      <c r="G305" s="124"/>
    </row>
    <row r="306" ht="30" customHeight="1">
      <c r="G306" s="78"/>
    </row>
    <row r="307" ht="30" customHeight="1">
      <c r="G307" s="78"/>
    </row>
    <row r="308" spans="1:7" s="43" customFormat="1" ht="15" customHeight="1">
      <c r="A308" s="1"/>
      <c r="B308" s="2"/>
      <c r="C308" s="3"/>
      <c r="D308" s="1"/>
      <c r="E308" s="4"/>
      <c r="F308" s="5"/>
      <c r="G308" s="62"/>
    </row>
    <row r="309" spans="1:8" s="43" customFormat="1" ht="15" customHeight="1">
      <c r="A309" s="1"/>
      <c r="B309" s="2"/>
      <c r="C309" s="3"/>
      <c r="D309" s="1"/>
      <c r="E309" s="4"/>
      <c r="F309" s="5"/>
      <c r="G309" s="62"/>
      <c r="H309" s="26"/>
    </row>
    <row r="310" spans="1:7" s="43" customFormat="1" ht="15" customHeight="1">
      <c r="A310" s="1"/>
      <c r="B310" s="2"/>
      <c r="C310" s="3"/>
      <c r="D310" s="1"/>
      <c r="E310" s="4"/>
      <c r="F310" s="5"/>
      <c r="G310" s="62"/>
    </row>
    <row r="311" spans="1:7" s="67" customFormat="1" ht="30" customHeight="1">
      <c r="A311" s="1"/>
      <c r="B311" s="2"/>
      <c r="C311" s="3"/>
      <c r="D311" s="1"/>
      <c r="E311" s="4"/>
      <c r="F311" s="5"/>
      <c r="G311" s="78"/>
    </row>
    <row r="312" spans="1:7" s="67" customFormat="1" ht="21" customHeight="1">
      <c r="A312" s="1"/>
      <c r="B312" s="2"/>
      <c r="C312" s="3"/>
      <c r="D312" s="1"/>
      <c r="E312" s="4"/>
      <c r="F312" s="5"/>
      <c r="G312" s="78"/>
    </row>
    <row r="313" spans="1:7" s="67" customFormat="1" ht="21" customHeight="1">
      <c r="A313" s="1"/>
      <c r="B313" s="2"/>
      <c r="C313" s="3"/>
      <c r="D313" s="1"/>
      <c r="E313" s="4"/>
      <c r="F313" s="5"/>
      <c r="G313" s="78"/>
    </row>
    <row r="314" spans="1:7" s="67" customFormat="1" ht="21" customHeight="1">
      <c r="A314" s="1"/>
      <c r="B314" s="2"/>
      <c r="C314" s="3"/>
      <c r="D314" s="1"/>
      <c r="E314" s="4"/>
      <c r="F314" s="5"/>
      <c r="G314" s="91"/>
    </row>
    <row r="315" spans="1:7" s="67" customFormat="1" ht="21" customHeight="1">
      <c r="A315" s="1"/>
      <c r="B315" s="2"/>
      <c r="C315" s="3"/>
      <c r="D315" s="1"/>
      <c r="E315" s="4"/>
      <c r="F315" s="5"/>
      <c r="G315" s="62"/>
    </row>
    <row r="316" spans="1:7" s="67" customFormat="1" ht="30" customHeight="1">
      <c r="A316" s="1"/>
      <c r="B316" s="2"/>
      <c r="C316" s="3"/>
      <c r="D316" s="1"/>
      <c r="E316" s="4"/>
      <c r="F316" s="5"/>
      <c r="G316" s="78"/>
    </row>
    <row r="317" spans="1:7" s="67" customFormat="1" ht="23.25" customHeight="1">
      <c r="A317" s="1"/>
      <c r="B317" s="2"/>
      <c r="C317" s="3"/>
      <c r="D317" s="1"/>
      <c r="E317" s="4"/>
      <c r="F317" s="5"/>
      <c r="G317" s="78"/>
    </row>
    <row r="318" spans="1:7" s="67" customFormat="1" ht="23.25" customHeight="1">
      <c r="A318" s="1"/>
      <c r="B318" s="2"/>
      <c r="C318" s="3"/>
      <c r="D318" s="1"/>
      <c r="E318" s="4"/>
      <c r="F318" s="5"/>
      <c r="G318" s="62"/>
    </row>
    <row r="319" spans="1:7" s="67" customFormat="1" ht="23.25" customHeight="1">
      <c r="A319" s="1"/>
      <c r="B319" s="2"/>
      <c r="C319" s="3"/>
      <c r="D319" s="1"/>
      <c r="E319" s="4"/>
      <c r="F319" s="5"/>
      <c r="G319" s="62"/>
    </row>
    <row r="320" spans="1:7" s="67" customFormat="1" ht="23.25" customHeight="1">
      <c r="A320" s="1"/>
      <c r="B320" s="2"/>
      <c r="C320" s="3"/>
      <c r="D320" s="1"/>
      <c r="E320" s="4"/>
      <c r="F320" s="5"/>
      <c r="G320" s="62"/>
    </row>
    <row r="321" spans="1:8" s="43" customFormat="1" ht="15" customHeight="1">
      <c r="A321" s="1"/>
      <c r="B321" s="2"/>
      <c r="C321" s="3"/>
      <c r="D321" s="1"/>
      <c r="E321" s="4"/>
      <c r="F321" s="5"/>
      <c r="G321" s="62"/>
      <c r="H321" s="26"/>
    </row>
    <row r="322" spans="1:7" s="43" customFormat="1" ht="30" customHeight="1">
      <c r="A322" s="1"/>
      <c r="B322" s="2"/>
      <c r="C322" s="3"/>
      <c r="D322" s="1"/>
      <c r="E322" s="4"/>
      <c r="F322" s="5"/>
      <c r="G322" s="62"/>
    </row>
    <row r="323" ht="15" customHeight="1">
      <c r="G323" s="62"/>
    </row>
    <row r="324" ht="43.5" customHeight="1">
      <c r="G324" s="62"/>
    </row>
    <row r="325" ht="30" customHeight="1">
      <c r="G325" s="62"/>
    </row>
    <row r="326" spans="1:7" s="43" customFormat="1" ht="15" customHeight="1">
      <c r="A326" s="1"/>
      <c r="B326" s="2"/>
      <c r="C326" s="3"/>
      <c r="D326" s="1"/>
      <c r="E326" s="4"/>
      <c r="F326" s="5"/>
      <c r="G326" s="62"/>
    </row>
    <row r="327" spans="1:8" s="43" customFormat="1" ht="15" customHeight="1">
      <c r="A327" s="1"/>
      <c r="B327" s="2"/>
      <c r="C327" s="3"/>
      <c r="D327" s="1"/>
      <c r="E327" s="4"/>
      <c r="F327" s="5"/>
      <c r="G327" s="62"/>
      <c r="H327" s="26"/>
    </row>
    <row r="328" spans="1:7" s="43" customFormat="1" ht="15" customHeight="1">
      <c r="A328" s="1"/>
      <c r="B328" s="2"/>
      <c r="C328" s="3"/>
      <c r="D328" s="1"/>
      <c r="E328" s="4"/>
      <c r="F328" s="5"/>
      <c r="G328" s="62"/>
    </row>
    <row r="329" spans="7:8" ht="15" customHeight="1">
      <c r="G329" s="62"/>
      <c r="H329" s="92"/>
    </row>
    <row r="330" ht="30" customHeight="1">
      <c r="G330" s="62"/>
    </row>
    <row r="331" spans="1:8" s="43" customFormat="1" ht="15" customHeight="1">
      <c r="A331" s="1"/>
      <c r="B331" s="2"/>
      <c r="C331" s="3"/>
      <c r="D331" s="1"/>
      <c r="E331" s="4"/>
      <c r="F331" s="5"/>
      <c r="G331" s="62"/>
      <c r="H331" s="26"/>
    </row>
    <row r="332" spans="1:7" s="43" customFormat="1" ht="15" customHeight="1">
      <c r="A332" s="1"/>
      <c r="B332" s="2"/>
      <c r="C332" s="3"/>
      <c r="D332" s="1"/>
      <c r="E332" s="4"/>
      <c r="F332" s="5"/>
      <c r="G332" s="62"/>
    </row>
    <row r="333" spans="7:9" ht="12.75">
      <c r="G333" s="78"/>
      <c r="H333" s="130"/>
      <c r="I333" s="130"/>
    </row>
    <row r="334" spans="7:9" ht="12.75">
      <c r="G334" s="78"/>
      <c r="I334" s="130"/>
    </row>
    <row r="335" ht="15" customHeight="1">
      <c r="G335" s="62"/>
    </row>
    <row r="336" ht="12.75">
      <c r="G336" s="62"/>
    </row>
    <row r="337" ht="12.75">
      <c r="G337" s="62"/>
    </row>
    <row r="338" ht="12.75">
      <c r="G338" s="78"/>
    </row>
    <row r="339" ht="12.75">
      <c r="G339" s="78"/>
    </row>
    <row r="340" ht="12.75">
      <c r="G340" s="62"/>
    </row>
    <row r="341" ht="12.75">
      <c r="G341" s="62"/>
    </row>
    <row r="342" ht="15" customHeight="1">
      <c r="G342" s="62"/>
    </row>
    <row r="343" spans="7:11" ht="12.75">
      <c r="G343" s="78"/>
      <c r="K343" s="98"/>
    </row>
    <row r="344" spans="7:11" ht="12.75">
      <c r="G344" s="78"/>
      <c r="K344" s="98"/>
    </row>
    <row r="345" ht="12.75">
      <c r="G345" s="78"/>
    </row>
    <row r="346" ht="12.75">
      <c r="G346" s="62"/>
    </row>
    <row r="347" ht="12.75">
      <c r="G347" s="62"/>
    </row>
    <row r="348" spans="1:8" s="43" customFormat="1" ht="15" customHeight="1">
      <c r="A348" s="1"/>
      <c r="B348" s="2"/>
      <c r="C348" s="3"/>
      <c r="D348" s="1"/>
      <c r="E348" s="4"/>
      <c r="F348" s="5"/>
      <c r="G348" s="62"/>
      <c r="H348" s="26"/>
    </row>
    <row r="349" spans="1:7" s="43" customFormat="1" ht="15" customHeight="1">
      <c r="A349" s="1"/>
      <c r="B349" s="2"/>
      <c r="C349" s="3"/>
      <c r="D349" s="1"/>
      <c r="E349" s="4"/>
      <c r="F349" s="5"/>
      <c r="G349" s="78"/>
    </row>
    <row r="350" ht="30" customHeight="1">
      <c r="G350" s="78"/>
    </row>
    <row r="351" ht="15" customHeight="1">
      <c r="G351" s="124"/>
    </row>
    <row r="352" ht="39.75" customHeight="1">
      <c r="G352" s="131"/>
    </row>
    <row r="353" spans="1:8" s="43" customFormat="1" ht="15" customHeight="1">
      <c r="A353" s="1"/>
      <c r="B353" s="2"/>
      <c r="C353" s="3"/>
      <c r="D353" s="1"/>
      <c r="E353" s="4"/>
      <c r="F353" s="5"/>
      <c r="G353" s="131"/>
      <c r="H353" s="26"/>
    </row>
    <row r="354" spans="1:7" s="43" customFormat="1" ht="15" customHeight="1">
      <c r="A354" s="1"/>
      <c r="B354" s="2"/>
      <c r="C354" s="3"/>
      <c r="D354" s="1"/>
      <c r="E354" s="4"/>
      <c r="F354" s="5"/>
      <c r="G354" s="78"/>
    </row>
    <row r="355" ht="15" customHeight="1">
      <c r="G355" s="124"/>
    </row>
    <row r="356" ht="15" customHeight="1">
      <c r="G356" s="124"/>
    </row>
    <row r="357" ht="15" customHeight="1">
      <c r="G357" s="124"/>
    </row>
    <row r="358" spans="1:7" s="43" customFormat="1" ht="15" customHeight="1">
      <c r="A358" s="1"/>
      <c r="B358" s="2"/>
      <c r="C358" s="3"/>
      <c r="D358" s="1"/>
      <c r="E358" s="4"/>
      <c r="F358" s="5"/>
      <c r="G358" s="78"/>
    </row>
    <row r="359" spans="1:8" s="43" customFormat="1" ht="15" customHeight="1">
      <c r="A359" s="1"/>
      <c r="B359" s="2"/>
      <c r="C359" s="3"/>
      <c r="D359" s="1"/>
      <c r="E359" s="4"/>
      <c r="F359" s="5"/>
      <c r="G359" s="78"/>
      <c r="H359" s="26"/>
    </row>
    <row r="360" spans="1:7" s="43" customFormat="1" ht="15" customHeight="1">
      <c r="A360" s="1"/>
      <c r="B360" s="2"/>
      <c r="C360" s="3"/>
      <c r="D360" s="1"/>
      <c r="E360" s="4"/>
      <c r="F360" s="5"/>
      <c r="G360" s="62"/>
    </row>
    <row r="361" ht="30" customHeight="1">
      <c r="G361" s="62"/>
    </row>
    <row r="362" ht="15.75" customHeight="1">
      <c r="G362" s="78"/>
    </row>
    <row r="363" ht="15" customHeight="1">
      <c r="G363" s="78"/>
    </row>
    <row r="364" spans="1:8" s="43" customFormat="1" ht="15" customHeight="1">
      <c r="A364" s="1"/>
      <c r="B364" s="2"/>
      <c r="C364" s="3"/>
      <c r="D364" s="1"/>
      <c r="E364" s="4"/>
      <c r="F364" s="5"/>
      <c r="G364" s="62"/>
      <c r="H364" s="26"/>
    </row>
    <row r="365" spans="1:7" s="43" customFormat="1" ht="15" customHeight="1">
      <c r="A365" s="1"/>
      <c r="B365" s="2"/>
      <c r="C365" s="3"/>
      <c r="D365" s="1"/>
      <c r="E365" s="4"/>
      <c r="F365" s="5"/>
      <c r="G365" s="62"/>
    </row>
    <row r="366" spans="1:7" s="67" customFormat="1" ht="12.75">
      <c r="A366" s="1"/>
      <c r="B366" s="2"/>
      <c r="C366" s="3"/>
      <c r="D366" s="1"/>
      <c r="E366" s="4"/>
      <c r="F366" s="5"/>
      <c r="G366" s="62"/>
    </row>
    <row r="367" spans="1:7" s="132" customFormat="1" ht="14.25" customHeight="1">
      <c r="A367" s="1"/>
      <c r="B367" s="2"/>
      <c r="C367" s="3"/>
      <c r="D367" s="1"/>
      <c r="E367" s="4"/>
      <c r="F367" s="5"/>
      <c r="G367" s="62"/>
    </row>
    <row r="368" spans="1:7" s="132" customFormat="1" ht="15.75" customHeight="1">
      <c r="A368" s="1"/>
      <c r="B368" s="2"/>
      <c r="C368" s="3"/>
      <c r="D368" s="1"/>
      <c r="E368" s="4"/>
      <c r="F368" s="5"/>
      <c r="G368" s="62"/>
    </row>
    <row r="369" spans="1:7" s="43" customFormat="1" ht="15" customHeight="1">
      <c r="A369" s="1"/>
      <c r="B369" s="2"/>
      <c r="C369" s="3"/>
      <c r="D369" s="1"/>
      <c r="E369" s="4"/>
      <c r="F369" s="5"/>
      <c r="G369" s="62"/>
    </row>
    <row r="370" spans="1:7" s="67" customFormat="1" ht="12.75">
      <c r="A370" s="1"/>
      <c r="B370" s="2"/>
      <c r="C370" s="3"/>
      <c r="D370" s="1"/>
      <c r="E370" s="4"/>
      <c r="F370" s="5"/>
      <c r="G370" s="78"/>
    </row>
    <row r="371" spans="1:7" s="67" customFormat="1" ht="12.75">
      <c r="A371" s="1"/>
      <c r="B371" s="2"/>
      <c r="C371" s="3"/>
      <c r="D371" s="1"/>
      <c r="E371" s="4"/>
      <c r="F371" s="5"/>
      <c r="G371" s="78"/>
    </row>
    <row r="372" spans="1:7" s="67" customFormat="1" ht="12.75">
      <c r="A372" s="1"/>
      <c r="B372" s="2"/>
      <c r="C372" s="3"/>
      <c r="D372" s="1"/>
      <c r="E372" s="4"/>
      <c r="F372" s="5"/>
      <c r="G372" s="124"/>
    </row>
    <row r="373" spans="1:8" s="43" customFormat="1" ht="15" customHeight="1">
      <c r="A373" s="1"/>
      <c r="B373" s="2"/>
      <c r="C373" s="3"/>
      <c r="D373" s="1"/>
      <c r="E373" s="4"/>
      <c r="F373" s="5"/>
      <c r="G373" s="124"/>
      <c r="H373" s="26"/>
    </row>
    <row r="374" spans="1:7" s="43" customFormat="1" ht="15" customHeight="1">
      <c r="A374" s="1"/>
      <c r="B374" s="2"/>
      <c r="C374" s="3"/>
      <c r="D374" s="1"/>
      <c r="E374" s="4"/>
      <c r="F374" s="5"/>
      <c r="G374" s="124"/>
    </row>
    <row r="375" ht="30" customHeight="1">
      <c r="G375" s="62"/>
    </row>
    <row r="376" ht="30" customHeight="1">
      <c r="G376" s="62"/>
    </row>
    <row r="377" spans="1:8" s="43" customFormat="1" ht="15" customHeight="1">
      <c r="A377" s="1"/>
      <c r="B377" s="2"/>
      <c r="C377" s="3"/>
      <c r="D377" s="1"/>
      <c r="E377" s="4"/>
      <c r="F377" s="5"/>
      <c r="G377" s="62"/>
      <c r="H377" s="26"/>
    </row>
    <row r="378" spans="1:7" s="43" customFormat="1" ht="15" customHeight="1">
      <c r="A378" s="1"/>
      <c r="B378" s="2"/>
      <c r="C378" s="3"/>
      <c r="D378" s="1"/>
      <c r="E378" s="4"/>
      <c r="F378" s="5"/>
      <c r="G378" s="62"/>
    </row>
    <row r="379" ht="12.75">
      <c r="G379" s="62"/>
    </row>
    <row r="380" ht="12.75">
      <c r="G380" s="62"/>
    </row>
    <row r="381" ht="30" customHeight="1">
      <c r="G381" s="62"/>
    </row>
    <row r="382" ht="30" customHeight="1">
      <c r="G382" s="62"/>
    </row>
    <row r="383" ht="30" customHeight="1">
      <c r="G383" s="62"/>
    </row>
    <row r="384" ht="39.75" customHeight="1">
      <c r="G384" s="62"/>
    </row>
    <row r="385" spans="1:8" s="43" customFormat="1" ht="15" customHeight="1">
      <c r="A385" s="1"/>
      <c r="B385" s="2"/>
      <c r="C385" s="3"/>
      <c r="D385" s="1"/>
      <c r="E385" s="4"/>
      <c r="F385" s="5"/>
      <c r="G385" s="133"/>
      <c r="H385" s="26"/>
    </row>
    <row r="386" spans="1:7" s="43" customFormat="1" ht="15" customHeight="1">
      <c r="A386" s="1"/>
      <c r="B386" s="2"/>
      <c r="C386" s="3"/>
      <c r="D386" s="1"/>
      <c r="E386" s="4"/>
      <c r="F386" s="5"/>
      <c r="G386" s="134"/>
    </row>
    <row r="387" spans="1:7" s="67" customFormat="1" ht="12.75">
      <c r="A387" s="1"/>
      <c r="B387" s="2"/>
      <c r="C387" s="3"/>
      <c r="D387" s="1"/>
      <c r="E387" s="4"/>
      <c r="F387" s="5"/>
      <c r="G387" s="134"/>
    </row>
    <row r="388" spans="1:7" s="67" customFormat="1" ht="18.75" customHeight="1">
      <c r="A388" s="1"/>
      <c r="B388" s="2"/>
      <c r="C388" s="3"/>
      <c r="D388" s="1"/>
      <c r="E388" s="4"/>
      <c r="F388" s="5"/>
      <c r="G388" s="134"/>
    </row>
    <row r="389" spans="1:7" s="67" customFormat="1" ht="18.75" customHeight="1">
      <c r="A389" s="1"/>
      <c r="B389" s="2"/>
      <c r="C389" s="3"/>
      <c r="D389" s="1"/>
      <c r="E389" s="4"/>
      <c r="F389" s="5"/>
      <c r="G389" s="134"/>
    </row>
    <row r="390" ht="12.75">
      <c r="G390" s="62"/>
    </row>
    <row r="391" ht="12.75">
      <c r="G391" s="62"/>
    </row>
    <row r="392" ht="12.75">
      <c r="G392" s="62"/>
    </row>
    <row r="393" ht="12.75">
      <c r="G393" s="62"/>
    </row>
    <row r="394" ht="12.75">
      <c r="G394" s="62"/>
    </row>
    <row r="395" ht="12.75">
      <c r="G395" s="78"/>
    </row>
    <row r="396" ht="12.75">
      <c r="G396" s="78"/>
    </row>
    <row r="397" ht="12.75">
      <c r="G397" s="78"/>
    </row>
    <row r="398" ht="12.75">
      <c r="G398" s="62"/>
    </row>
    <row r="399" ht="12.75">
      <c r="G399" s="62"/>
    </row>
    <row r="400" spans="7:8" ht="12.75">
      <c r="G400" s="78"/>
      <c r="H400" s="135"/>
    </row>
    <row r="401" spans="7:8" ht="12.75">
      <c r="G401" s="62"/>
      <c r="H401" s="136"/>
    </row>
    <row r="402" spans="7:8" ht="12.75">
      <c r="G402" s="78"/>
      <c r="H402" s="136"/>
    </row>
    <row r="403" spans="7:8" ht="12.75">
      <c r="G403" s="78"/>
      <c r="H403" s="136"/>
    </row>
    <row r="404" spans="7:8" ht="12.75">
      <c r="G404" s="62"/>
      <c r="H404" s="136"/>
    </row>
    <row r="405" ht="31.5" customHeight="1">
      <c r="G405" s="62"/>
    </row>
    <row r="406" ht="31.5" customHeight="1">
      <c r="G406" s="78"/>
    </row>
    <row r="407" ht="31.5" customHeight="1">
      <c r="G407" s="78"/>
    </row>
    <row r="408" ht="12.75">
      <c r="G408" s="124"/>
    </row>
    <row r="409" ht="12.75">
      <c r="G409" s="124"/>
    </row>
    <row r="410" spans="1:7" s="43" customFormat="1" ht="15" customHeight="1">
      <c r="A410" s="1"/>
      <c r="B410" s="2"/>
      <c r="C410" s="3"/>
      <c r="D410" s="1"/>
      <c r="E410" s="4"/>
      <c r="F410" s="5"/>
      <c r="G410" s="124"/>
    </row>
    <row r="411" spans="1:8" s="43" customFormat="1" ht="15" customHeight="1">
      <c r="A411" s="1"/>
      <c r="B411" s="2"/>
      <c r="C411" s="3"/>
      <c r="D411" s="1"/>
      <c r="E411" s="4"/>
      <c r="F411" s="5"/>
      <c r="G411" s="124"/>
      <c r="H411" s="26"/>
    </row>
    <row r="412" spans="1:8" s="43" customFormat="1" ht="15" customHeight="1">
      <c r="A412" s="1"/>
      <c r="B412" s="2"/>
      <c r="C412" s="3"/>
      <c r="D412" s="1"/>
      <c r="E412" s="4"/>
      <c r="F412" s="5"/>
      <c r="G412" s="124"/>
      <c r="H412" s="26"/>
    </row>
    <row r="413" spans="1:8" s="43" customFormat="1" ht="12.75">
      <c r="A413" s="1"/>
      <c r="B413" s="2"/>
      <c r="C413" s="3"/>
      <c r="D413" s="1"/>
      <c r="E413" s="4"/>
      <c r="F413" s="5"/>
      <c r="G413" s="124"/>
      <c r="H413" s="26"/>
    </row>
    <row r="414" spans="1:8" s="43" customFormat="1" ht="12.75">
      <c r="A414" s="1"/>
      <c r="B414" s="2"/>
      <c r="C414" s="3"/>
      <c r="D414" s="1"/>
      <c r="E414" s="4"/>
      <c r="F414" s="5"/>
      <c r="G414" s="78"/>
      <c r="H414" s="26"/>
    </row>
    <row r="415" spans="1:8" s="43" customFormat="1" ht="15" customHeight="1">
      <c r="A415" s="1"/>
      <c r="B415" s="2"/>
      <c r="C415" s="3"/>
      <c r="D415" s="1"/>
      <c r="E415" s="4"/>
      <c r="F415" s="5"/>
      <c r="G415" s="78"/>
      <c r="H415" s="26"/>
    </row>
    <row r="416" spans="1:8" s="43" customFormat="1" ht="12.75">
      <c r="A416" s="1"/>
      <c r="B416" s="2"/>
      <c r="C416" s="3"/>
      <c r="D416" s="1"/>
      <c r="E416" s="4"/>
      <c r="F416" s="5"/>
      <c r="G416" s="78"/>
      <c r="H416" s="26"/>
    </row>
    <row r="417" spans="1:8" s="43" customFormat="1" ht="15" customHeight="1">
      <c r="A417" s="1"/>
      <c r="B417" s="2"/>
      <c r="C417" s="3"/>
      <c r="D417" s="1"/>
      <c r="E417" s="4"/>
      <c r="F417" s="5"/>
      <c r="G417" s="62"/>
      <c r="H417" s="26"/>
    </row>
    <row r="418" spans="1:7" s="43" customFormat="1" ht="15" customHeight="1">
      <c r="A418" s="1"/>
      <c r="B418" s="2"/>
      <c r="C418" s="3"/>
      <c r="D418" s="1"/>
      <c r="E418" s="4"/>
      <c r="F418" s="5"/>
      <c r="G418" s="62"/>
    </row>
    <row r="419" ht="12.75">
      <c r="G419" s="62"/>
    </row>
    <row r="420" ht="12.75">
      <c r="G420" s="62"/>
    </row>
    <row r="421" spans="1:8" s="43" customFormat="1" ht="15" customHeight="1">
      <c r="A421" s="1"/>
      <c r="B421" s="2"/>
      <c r="C421" s="3"/>
      <c r="D421" s="1"/>
      <c r="E421" s="4"/>
      <c r="F421" s="5"/>
      <c r="G421" s="1"/>
      <c r="H421" s="26"/>
    </row>
    <row r="422" spans="1:7" s="43" customFormat="1" ht="30" customHeight="1">
      <c r="A422" s="1"/>
      <c r="B422" s="2"/>
      <c r="C422" s="3"/>
      <c r="D422" s="1"/>
      <c r="E422" s="4"/>
      <c r="F422" s="5"/>
      <c r="G422" s="1"/>
    </row>
    <row r="423" spans="1:7" s="67" customFormat="1" ht="42.75" customHeight="1">
      <c r="A423" s="1"/>
      <c r="B423" s="2"/>
      <c r="C423" s="3"/>
      <c r="D423" s="1"/>
      <c r="E423" s="4"/>
      <c r="F423" s="5"/>
      <c r="G423" s="1"/>
    </row>
    <row r="424" spans="1:7" s="67" customFormat="1" ht="19.5" customHeight="1">
      <c r="A424" s="1"/>
      <c r="B424" s="2"/>
      <c r="C424" s="3"/>
      <c r="D424" s="1"/>
      <c r="E424" s="4"/>
      <c r="F424" s="5"/>
      <c r="G424" s="1"/>
    </row>
    <row r="425" spans="1:7" s="67" customFormat="1" ht="19.5" customHeight="1">
      <c r="A425" s="1"/>
      <c r="B425" s="2"/>
      <c r="C425" s="3"/>
      <c r="D425" s="1"/>
      <c r="E425" s="4"/>
      <c r="F425" s="5"/>
      <c r="G425" s="1"/>
    </row>
    <row r="426" spans="1:7" s="67" customFormat="1" ht="19.5" customHeight="1">
      <c r="A426" s="1"/>
      <c r="B426" s="2"/>
      <c r="C426" s="3"/>
      <c r="D426" s="1"/>
      <c r="E426" s="4"/>
      <c r="F426" s="5"/>
      <c r="G426" s="1"/>
    </row>
    <row r="427" spans="1:7" s="67" customFormat="1" ht="19.5" customHeight="1">
      <c r="A427" s="1"/>
      <c r="B427" s="2"/>
      <c r="C427" s="3"/>
      <c r="D427" s="1"/>
      <c r="E427" s="4"/>
      <c r="F427" s="5"/>
      <c r="G427" s="1"/>
    </row>
    <row r="428" spans="1:7" s="67" customFormat="1" ht="19.5" customHeight="1">
      <c r="A428" s="1"/>
      <c r="B428" s="2"/>
      <c r="C428" s="3"/>
      <c r="D428" s="1"/>
      <c r="E428" s="4"/>
      <c r="F428" s="5"/>
      <c r="G428" s="1"/>
    </row>
    <row r="429" spans="1:7" s="43" customFormat="1" ht="15" customHeight="1">
      <c r="A429" s="1"/>
      <c r="B429" s="2"/>
      <c r="C429" s="3"/>
      <c r="D429" s="1"/>
      <c r="E429" s="4"/>
      <c r="F429" s="5"/>
      <c r="G429" s="1"/>
    </row>
    <row r="430" spans="1:8" s="43" customFormat="1" ht="15" customHeight="1">
      <c r="A430" s="1"/>
      <c r="B430" s="2"/>
      <c r="C430" s="3"/>
      <c r="D430" s="1"/>
      <c r="E430" s="4"/>
      <c r="F430" s="5"/>
      <c r="G430" s="1"/>
      <c r="H430" s="26"/>
    </row>
    <row r="431" spans="1:7" s="43" customFormat="1" ht="15" customHeight="1">
      <c r="A431" s="1"/>
      <c r="B431" s="2"/>
      <c r="C431" s="3"/>
      <c r="D431" s="1"/>
      <c r="E431" s="4"/>
      <c r="F431" s="5"/>
      <c r="G431" s="1"/>
    </row>
    <row r="432" ht="30" customHeight="1">
      <c r="I432" s="137"/>
    </row>
  </sheetData>
  <sheetProtection selectLockedCells="1" selectUnlockedCells="1"/>
  <mergeCells count="188">
    <mergeCell ref="A1:A2"/>
    <mergeCell ref="B1:B2"/>
    <mergeCell ref="C1:C2"/>
    <mergeCell ref="D1:D2"/>
    <mergeCell ref="E1:E2"/>
    <mergeCell ref="F1:F2"/>
    <mergeCell ref="A10:A13"/>
    <mergeCell ref="B10:B13"/>
    <mergeCell ref="D10:D13"/>
    <mergeCell ref="F10:F13"/>
    <mergeCell ref="A14:A15"/>
    <mergeCell ref="B14:B15"/>
    <mergeCell ref="D14:D15"/>
    <mergeCell ref="F14:F15"/>
    <mergeCell ref="A20:A21"/>
    <mergeCell ref="B20:B21"/>
    <mergeCell ref="D20:D21"/>
    <mergeCell ref="F20:F21"/>
    <mergeCell ref="A24:A26"/>
    <mergeCell ref="B24:B26"/>
    <mergeCell ref="D24:D26"/>
    <mergeCell ref="F24:F26"/>
    <mergeCell ref="A28:A29"/>
    <mergeCell ref="B28:B29"/>
    <mergeCell ref="D28:D29"/>
    <mergeCell ref="F28:F29"/>
    <mergeCell ref="A30:A31"/>
    <mergeCell ref="B30:B31"/>
    <mergeCell ref="D30:D31"/>
    <mergeCell ref="F30:F31"/>
    <mergeCell ref="A35:A38"/>
    <mergeCell ref="B35:B38"/>
    <mergeCell ref="D35:D38"/>
    <mergeCell ref="F35:F38"/>
    <mergeCell ref="A39:A41"/>
    <mergeCell ref="B39:B41"/>
    <mergeCell ref="D39:D41"/>
    <mergeCell ref="F39:F41"/>
    <mergeCell ref="A42:A46"/>
    <mergeCell ref="B42:B46"/>
    <mergeCell ref="D42:D46"/>
    <mergeCell ref="F42:F46"/>
    <mergeCell ref="A47:A49"/>
    <mergeCell ref="B47:B49"/>
    <mergeCell ref="D47:D49"/>
    <mergeCell ref="F47:F49"/>
    <mergeCell ref="A51:A53"/>
    <mergeCell ref="B51:B53"/>
    <mergeCell ref="D51:D53"/>
    <mergeCell ref="F51:F53"/>
    <mergeCell ref="A54:A57"/>
    <mergeCell ref="B54:B57"/>
    <mergeCell ref="D54:D57"/>
    <mergeCell ref="F54:F57"/>
    <mergeCell ref="A59:A60"/>
    <mergeCell ref="B59:B60"/>
    <mergeCell ref="A61:A63"/>
    <mergeCell ref="B61:B63"/>
    <mergeCell ref="D61:D63"/>
    <mergeCell ref="F61:F63"/>
    <mergeCell ref="A64:A66"/>
    <mergeCell ref="B64:B66"/>
    <mergeCell ref="D64:D66"/>
    <mergeCell ref="F64:F66"/>
    <mergeCell ref="A67:A68"/>
    <mergeCell ref="B67:B68"/>
    <mergeCell ref="A69:A70"/>
    <mergeCell ref="B69:B70"/>
    <mergeCell ref="D69:D70"/>
    <mergeCell ref="F69:F70"/>
    <mergeCell ref="A71:A73"/>
    <mergeCell ref="B71:B73"/>
    <mergeCell ref="D71:D73"/>
    <mergeCell ref="F71:F73"/>
    <mergeCell ref="A77:A78"/>
    <mergeCell ref="B77:B78"/>
    <mergeCell ref="D77:D78"/>
    <mergeCell ref="F77:F78"/>
    <mergeCell ref="A79:A81"/>
    <mergeCell ref="B79:B81"/>
    <mergeCell ref="D79:D81"/>
    <mergeCell ref="F79:F81"/>
    <mergeCell ref="A82:A83"/>
    <mergeCell ref="B82:B83"/>
    <mergeCell ref="D82:D83"/>
    <mergeCell ref="F82:F83"/>
    <mergeCell ref="A84:A85"/>
    <mergeCell ref="B84:B85"/>
    <mergeCell ref="D84:D85"/>
    <mergeCell ref="F84:F85"/>
    <mergeCell ref="A86:A87"/>
    <mergeCell ref="B86:B87"/>
    <mergeCell ref="D86:D87"/>
    <mergeCell ref="F86:F87"/>
    <mergeCell ref="A89:A90"/>
    <mergeCell ref="B89:B90"/>
    <mergeCell ref="A91:A92"/>
    <mergeCell ref="B91:B92"/>
    <mergeCell ref="D91:D92"/>
    <mergeCell ref="F91:F92"/>
    <mergeCell ref="A93:A94"/>
    <mergeCell ref="B93:B94"/>
    <mergeCell ref="D93:D94"/>
    <mergeCell ref="F93:F94"/>
    <mergeCell ref="A95:A96"/>
    <mergeCell ref="B95:B96"/>
    <mergeCell ref="A97:A98"/>
    <mergeCell ref="B97:B98"/>
    <mergeCell ref="D97:D98"/>
    <mergeCell ref="F97:F98"/>
    <mergeCell ref="A99:A100"/>
    <mergeCell ref="B99:B100"/>
    <mergeCell ref="D99:D100"/>
    <mergeCell ref="F99:F100"/>
    <mergeCell ref="A104:A106"/>
    <mergeCell ref="B104:B106"/>
    <mergeCell ref="D104:D106"/>
    <mergeCell ref="F104:F106"/>
    <mergeCell ref="A110:A112"/>
    <mergeCell ref="B110:B112"/>
    <mergeCell ref="D110:D112"/>
    <mergeCell ref="F110:F112"/>
    <mergeCell ref="A113:A116"/>
    <mergeCell ref="B113:B116"/>
    <mergeCell ref="D113:D116"/>
    <mergeCell ref="F113:F116"/>
    <mergeCell ref="A120:A123"/>
    <mergeCell ref="B120:B123"/>
    <mergeCell ref="D120:D123"/>
    <mergeCell ref="F120:F123"/>
    <mergeCell ref="A124:A125"/>
    <mergeCell ref="B124:B125"/>
    <mergeCell ref="D124:D125"/>
    <mergeCell ref="F124:F125"/>
    <mergeCell ref="A129:A131"/>
    <mergeCell ref="B129:B131"/>
    <mergeCell ref="D129:D131"/>
    <mergeCell ref="F129:F131"/>
    <mergeCell ref="A135:A136"/>
    <mergeCell ref="B135:B136"/>
    <mergeCell ref="D135:D136"/>
    <mergeCell ref="F135:F136"/>
    <mergeCell ref="A137:A139"/>
    <mergeCell ref="B137:B139"/>
    <mergeCell ref="D137:D139"/>
    <mergeCell ref="F137:F139"/>
    <mergeCell ref="A140:A141"/>
    <mergeCell ref="B140:B141"/>
    <mergeCell ref="D140:D141"/>
    <mergeCell ref="F140:F141"/>
    <mergeCell ref="A143:A145"/>
    <mergeCell ref="B143:B145"/>
    <mergeCell ref="D143:D145"/>
    <mergeCell ref="F143:F145"/>
    <mergeCell ref="A153:A155"/>
    <mergeCell ref="B153:B155"/>
    <mergeCell ref="D153:D155"/>
    <mergeCell ref="F153:F155"/>
    <mergeCell ref="A158:A160"/>
    <mergeCell ref="B158:B160"/>
    <mergeCell ref="D158:D160"/>
    <mergeCell ref="F158:F160"/>
    <mergeCell ref="A162:A164"/>
    <mergeCell ref="B162:B164"/>
    <mergeCell ref="D162:D164"/>
    <mergeCell ref="F162:F164"/>
    <mergeCell ref="A171:A173"/>
    <mergeCell ref="B171:B173"/>
    <mergeCell ref="D171:D173"/>
    <mergeCell ref="F171:F173"/>
    <mergeCell ref="A174:A176"/>
    <mergeCell ref="B174:B176"/>
    <mergeCell ref="D174:D176"/>
    <mergeCell ref="F174:F176"/>
    <mergeCell ref="A177:A179"/>
    <mergeCell ref="B177:B179"/>
    <mergeCell ref="D177:D179"/>
    <mergeCell ref="F177:F179"/>
    <mergeCell ref="A182:A184"/>
    <mergeCell ref="B182:B184"/>
    <mergeCell ref="D182:D184"/>
    <mergeCell ref="F182:F184"/>
    <mergeCell ref="A203:A204"/>
    <mergeCell ref="B203:B204"/>
    <mergeCell ref="A205:A208"/>
    <mergeCell ref="B205:B208"/>
    <mergeCell ref="D205:D208"/>
    <mergeCell ref="F205:F208"/>
  </mergeCells>
  <printOptions/>
  <pageMargins left="1.575" right="0.7875" top="1.18125" bottom="0.7875" header="0.5118055555555555" footer="0.5118055555555555"/>
  <pageSetup horizontalDpi="300" verticalDpi="300" orientation="portrait" paperSize="9" scale="74"/>
  <headerFooter alignWithMargins="0">
    <oddHeader>&amp;CPRZEDMIAR ROBÓT
OBIEKTY MOSTOWE
most JNI 31001107</oddHeader>
  </headerFooter>
  <rowBreaks count="4" manualBreakCount="4">
    <brk id="50" max="255" man="1"/>
    <brk id="94" max="255" man="1"/>
    <brk id="145" max="255" man="1"/>
    <brk id="19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54"/>
  <sheetViews>
    <sheetView tabSelected="1" view="pageBreakPreview" zoomScale="85" zoomScaleNormal="85" zoomScaleSheetLayoutView="85" workbookViewId="0" topLeftCell="A106">
      <selection activeCell="C118" sqref="C118"/>
    </sheetView>
  </sheetViews>
  <sheetFormatPr defaultColWidth="9.00390625" defaultRowHeight="12.75"/>
  <cols>
    <col min="1" max="1" width="4.75390625" style="1" customWidth="1"/>
    <col min="2" max="2" width="15.00390625" style="2" customWidth="1"/>
    <col min="3" max="3" width="42.125" style="3" customWidth="1"/>
    <col min="4" max="4" width="9.375" style="3" customWidth="1"/>
    <col min="5" max="5" width="11.875" style="1" customWidth="1"/>
    <col min="6" max="6" width="12.125" style="5" customWidth="1"/>
    <col min="7" max="7" width="14.375" style="1" customWidth="1"/>
    <col min="8" max="8" width="16.25390625" style="2" customWidth="1"/>
    <col min="9" max="9" width="13.875" style="1" customWidth="1"/>
    <col min="10" max="10" width="13.75390625" style="1" customWidth="1"/>
    <col min="11" max="75" width="16.75390625" style="1" customWidth="1"/>
    <col min="76" max="16384" width="9.125" style="1" customWidth="1"/>
  </cols>
  <sheetData>
    <row r="1" spans="1:61" s="12" customFormat="1" ht="15" customHeight="1">
      <c r="A1" s="6" t="s">
        <v>0</v>
      </c>
      <c r="B1" s="7" t="s">
        <v>1</v>
      </c>
      <c r="C1" s="8" t="s">
        <v>2</v>
      </c>
      <c r="D1" s="8" t="s">
        <v>286</v>
      </c>
      <c r="E1" s="8" t="s">
        <v>3</v>
      </c>
      <c r="F1" s="8"/>
      <c r="G1" s="138" t="s">
        <v>287</v>
      </c>
      <c r="H1" s="138" t="s">
        <v>288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</row>
    <row r="2" spans="1:61" s="12" customFormat="1" ht="15" customHeight="1">
      <c r="A2" s="6"/>
      <c r="B2" s="7"/>
      <c r="C2" s="8"/>
      <c r="D2" s="8"/>
      <c r="E2" s="8"/>
      <c r="F2" s="8"/>
      <c r="G2" s="138" t="s">
        <v>289</v>
      </c>
      <c r="H2" s="138" t="s">
        <v>289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</row>
    <row r="3" spans="1:8" s="12" customFormat="1" ht="15" customHeight="1">
      <c r="A3" s="13">
        <v>1</v>
      </c>
      <c r="B3" s="14">
        <f aca="true" t="shared" si="0" ref="B3:H3">1+A3</f>
        <v>2</v>
      </c>
      <c r="C3" s="14">
        <f t="shared" si="0"/>
        <v>3</v>
      </c>
      <c r="D3" s="14">
        <f t="shared" si="0"/>
        <v>4</v>
      </c>
      <c r="E3" s="14">
        <f t="shared" si="0"/>
        <v>5</v>
      </c>
      <c r="F3" s="15">
        <f t="shared" si="0"/>
        <v>6</v>
      </c>
      <c r="G3" s="14">
        <f t="shared" si="0"/>
        <v>7</v>
      </c>
      <c r="H3" s="14">
        <f t="shared" si="0"/>
        <v>8</v>
      </c>
    </row>
    <row r="4" spans="1:8" s="11" customFormat="1" ht="15" customHeight="1">
      <c r="A4" s="16"/>
      <c r="B4" s="17" t="s">
        <v>6</v>
      </c>
      <c r="C4" s="18" t="s">
        <v>7</v>
      </c>
      <c r="D4" s="19"/>
      <c r="E4" s="19"/>
      <c r="F4" s="19"/>
      <c r="G4" s="20"/>
      <c r="H4" s="139">
        <f>H5+H8</f>
        <v>0</v>
      </c>
    </row>
    <row r="5" spans="1:8" s="11" customFormat="1" ht="15" customHeight="1">
      <c r="A5" s="21"/>
      <c r="B5" s="22" t="s">
        <v>8</v>
      </c>
      <c r="C5" s="23" t="s">
        <v>9</v>
      </c>
      <c r="D5" s="24"/>
      <c r="E5" s="24"/>
      <c r="F5" s="24"/>
      <c r="G5" s="25"/>
      <c r="H5" s="140">
        <f>H6</f>
        <v>0</v>
      </c>
    </row>
    <row r="6" spans="1:8" s="11" customFormat="1" ht="15" customHeight="1">
      <c r="A6" s="27"/>
      <c r="B6" s="28" t="s">
        <v>10</v>
      </c>
      <c r="C6" s="23" t="s">
        <v>11</v>
      </c>
      <c r="D6" s="24"/>
      <c r="E6" s="24"/>
      <c r="F6" s="24"/>
      <c r="G6" s="25"/>
      <c r="H6" s="141">
        <f>SUM(H7)</f>
        <v>0</v>
      </c>
    </row>
    <row r="7" spans="1:11" s="12" customFormat="1" ht="15" customHeight="1">
      <c r="A7" s="29">
        <v>1</v>
      </c>
      <c r="B7" s="29" t="s">
        <v>12</v>
      </c>
      <c r="C7" s="30" t="s">
        <v>13</v>
      </c>
      <c r="D7" s="31">
        <f>A7</f>
        <v>1</v>
      </c>
      <c r="E7" s="31" t="str">
        <f>'01. PRZEDMIAR ROBÓT'!D7</f>
        <v>rycz.</v>
      </c>
      <c r="F7" s="142">
        <f>'01. PRZEDMIAR ROBÓT'!F7</f>
        <v>1</v>
      </c>
      <c r="G7" s="143"/>
      <c r="H7" s="144">
        <f>F7*G7</f>
        <v>0</v>
      </c>
      <c r="K7" s="36"/>
    </row>
    <row r="8" spans="1:11" s="12" customFormat="1" ht="15" customHeight="1">
      <c r="A8" s="21"/>
      <c r="B8" s="22" t="s">
        <v>15</v>
      </c>
      <c r="C8" s="23" t="s">
        <v>16</v>
      </c>
      <c r="D8" s="24"/>
      <c r="E8" s="24"/>
      <c r="F8" s="24"/>
      <c r="G8" s="145"/>
      <c r="H8" s="140">
        <f>H9</f>
        <v>0</v>
      </c>
      <c r="K8" s="36"/>
    </row>
    <row r="9" spans="1:11" s="12" customFormat="1" ht="15" customHeight="1">
      <c r="A9" s="27"/>
      <c r="B9" s="22" t="s">
        <v>17</v>
      </c>
      <c r="C9" s="23" t="s">
        <v>18</v>
      </c>
      <c r="D9" s="24"/>
      <c r="E9" s="24"/>
      <c r="F9" s="24"/>
      <c r="G9" s="145"/>
      <c r="H9" s="141">
        <f>SUM(H10:H11)</f>
        <v>0</v>
      </c>
      <c r="K9" s="36"/>
    </row>
    <row r="10" spans="1:11" s="12" customFormat="1" ht="15" customHeight="1">
      <c r="A10" s="29">
        <f>MAX($A$7:A9)+1</f>
        <v>2</v>
      </c>
      <c r="B10" s="29" t="s">
        <v>19</v>
      </c>
      <c r="C10" s="30" t="s">
        <v>20</v>
      </c>
      <c r="D10" s="31">
        <f>A10</f>
        <v>2</v>
      </c>
      <c r="E10" s="31" t="str">
        <f>'01. PRZEDMIAR ROBÓT'!D10</f>
        <v>m³</v>
      </c>
      <c r="F10" s="146">
        <f>'01. PRZEDMIAR ROBÓT'!F10</f>
        <v>6.4</v>
      </c>
      <c r="G10" s="143"/>
      <c r="H10" s="144">
        <f>F10*G10</f>
        <v>0</v>
      </c>
      <c r="K10" s="36"/>
    </row>
    <row r="11" spans="1:11" s="12" customFormat="1" ht="15" customHeight="1">
      <c r="A11" s="64">
        <f>MAX($A$7:A10)+1</f>
        <v>3</v>
      </c>
      <c r="B11" s="29" t="s">
        <v>25</v>
      </c>
      <c r="C11" s="30" t="s">
        <v>26</v>
      </c>
      <c r="D11" s="31">
        <f>A11</f>
        <v>3</v>
      </c>
      <c r="E11" s="31" t="str">
        <f>'01. PRZEDMIAR ROBÓT'!D14</f>
        <v>m</v>
      </c>
      <c r="F11" s="146">
        <f>'01. PRZEDMIAR ROBÓT'!F14</f>
        <v>34.5</v>
      </c>
      <c r="G11" s="143"/>
      <c r="H11" s="144">
        <f>F11*G11</f>
        <v>0</v>
      </c>
      <c r="K11" s="36"/>
    </row>
    <row r="12" spans="1:8" s="11" customFormat="1" ht="15" customHeight="1">
      <c r="A12" s="44"/>
      <c r="B12" s="44" t="s">
        <v>29</v>
      </c>
      <c r="C12" s="18" t="s">
        <v>30</v>
      </c>
      <c r="D12" s="19"/>
      <c r="E12" s="19"/>
      <c r="F12" s="147"/>
      <c r="G12" s="148"/>
      <c r="H12" s="149">
        <f>H13+H17</f>
        <v>0</v>
      </c>
    </row>
    <row r="13" spans="1:8" s="11" customFormat="1" ht="15" customHeight="1">
      <c r="A13" s="21"/>
      <c r="B13" s="22" t="s">
        <v>31</v>
      </c>
      <c r="C13" s="23" t="s">
        <v>32</v>
      </c>
      <c r="D13" s="24"/>
      <c r="E13" s="24"/>
      <c r="F13" s="150"/>
      <c r="G13" s="145"/>
      <c r="H13" s="140">
        <f>H14</f>
        <v>0</v>
      </c>
    </row>
    <row r="14" spans="1:8" s="11" customFormat="1" ht="15" customHeight="1">
      <c r="A14" s="27"/>
      <c r="B14" s="28" t="s">
        <v>33</v>
      </c>
      <c r="C14" s="23" t="s">
        <v>32</v>
      </c>
      <c r="D14" s="24"/>
      <c r="E14" s="24"/>
      <c r="F14" s="150"/>
      <c r="G14" s="145"/>
      <c r="H14" s="141">
        <f>SUM(H15:H16)</f>
        <v>0</v>
      </c>
    </row>
    <row r="15" spans="1:8" s="11" customFormat="1" ht="15" customHeight="1">
      <c r="A15" s="29">
        <f>MAX($A$7:A14)+1</f>
        <v>4</v>
      </c>
      <c r="B15" s="29" t="s">
        <v>34</v>
      </c>
      <c r="C15" s="30" t="s">
        <v>290</v>
      </c>
      <c r="D15" s="31">
        <f>A15</f>
        <v>4</v>
      </c>
      <c r="E15" s="31" t="str">
        <f>'01. PRZEDMIAR ROBÓT'!D19</f>
        <v>m³</v>
      </c>
      <c r="F15" s="31">
        <f>'01. PRZEDMIAR ROBÓT'!F19</f>
        <v>8.1</v>
      </c>
      <c r="G15" s="143"/>
      <c r="H15" s="144">
        <f>F15*G15</f>
        <v>0</v>
      </c>
    </row>
    <row r="16" spans="1:8" s="11" customFormat="1" ht="30" customHeight="1">
      <c r="A16" s="29">
        <f>MAX($A$7:A15)+1</f>
        <v>5</v>
      </c>
      <c r="B16" s="29" t="s">
        <v>36</v>
      </c>
      <c r="C16" s="30" t="s">
        <v>37</v>
      </c>
      <c r="D16" s="31">
        <f>A16</f>
        <v>5</v>
      </c>
      <c r="E16" s="31" t="str">
        <f>'01. PRZEDMIAR ROBÓT'!D20</f>
        <v>kg</v>
      </c>
      <c r="F16" s="31">
        <f>'01. PRZEDMIAR ROBÓT'!F20</f>
        <v>178.2</v>
      </c>
      <c r="G16" s="143"/>
      <c r="H16" s="144">
        <f>F16*G16</f>
        <v>0</v>
      </c>
    </row>
    <row r="17" spans="1:8" s="11" customFormat="1" ht="15" customHeight="1">
      <c r="A17" s="21"/>
      <c r="B17" s="22" t="s">
        <v>40</v>
      </c>
      <c r="C17" s="23" t="s">
        <v>41</v>
      </c>
      <c r="D17" s="24"/>
      <c r="E17" s="24"/>
      <c r="F17" s="24"/>
      <c r="G17" s="145"/>
      <c r="H17" s="140">
        <f>H18+H20</f>
        <v>0</v>
      </c>
    </row>
    <row r="18" spans="1:8" s="11" customFormat="1" ht="15" customHeight="1">
      <c r="A18" s="21"/>
      <c r="B18" s="22" t="s">
        <v>42</v>
      </c>
      <c r="C18" s="23" t="s">
        <v>43</v>
      </c>
      <c r="D18" s="24"/>
      <c r="E18" s="24"/>
      <c r="F18" s="24"/>
      <c r="G18" s="145"/>
      <c r="H18" s="141">
        <f>SUM(H19)</f>
        <v>0</v>
      </c>
    </row>
    <row r="19" spans="1:8" s="11" customFormat="1" ht="15" customHeight="1">
      <c r="A19" s="29">
        <f>MAX($A$7:A18)+1</f>
        <v>6</v>
      </c>
      <c r="B19" s="29" t="s">
        <v>44</v>
      </c>
      <c r="C19" s="30" t="s">
        <v>45</v>
      </c>
      <c r="D19" s="31">
        <f>A19</f>
        <v>6</v>
      </c>
      <c r="E19" s="31" t="str">
        <f>'01. PRZEDMIAR ROBÓT'!D24</f>
        <v>m³</v>
      </c>
      <c r="F19" s="31">
        <f>'01. PRZEDMIAR ROBÓT'!F24</f>
        <v>481.5</v>
      </c>
      <c r="G19" s="143"/>
      <c r="H19" s="144">
        <f>F19*G19</f>
        <v>0</v>
      </c>
    </row>
    <row r="20" spans="1:8" s="11" customFormat="1" ht="15" customHeight="1">
      <c r="A20" s="21"/>
      <c r="B20" s="22" t="s">
        <v>48</v>
      </c>
      <c r="C20" s="23" t="s">
        <v>49</v>
      </c>
      <c r="D20" s="24"/>
      <c r="E20" s="24"/>
      <c r="F20" s="24"/>
      <c r="G20" s="145"/>
      <c r="H20" s="141">
        <f>SUM(H21:H22)</f>
        <v>0</v>
      </c>
    </row>
    <row r="21" spans="1:8" s="11" customFormat="1" ht="30" customHeight="1">
      <c r="A21" s="29">
        <f>MAX($A$7:A20)+1</f>
        <v>7</v>
      </c>
      <c r="B21" s="29" t="s">
        <v>50</v>
      </c>
      <c r="C21" s="30" t="s">
        <v>51</v>
      </c>
      <c r="D21" s="31">
        <f>A21</f>
        <v>7</v>
      </c>
      <c r="E21" s="31" t="str">
        <f>'01. PRZEDMIAR ROBÓT'!D28</f>
        <v>m²</v>
      </c>
      <c r="F21" s="146">
        <f>'01. PRZEDMIAR ROBÓT'!F28</f>
        <v>355</v>
      </c>
      <c r="G21" s="143"/>
      <c r="H21" s="144">
        <f>F21*G21</f>
        <v>0</v>
      </c>
    </row>
    <row r="22" spans="1:8" s="11" customFormat="1" ht="30" customHeight="1">
      <c r="A22" s="29">
        <f>MAX($A$7:A21)+1</f>
        <v>8</v>
      </c>
      <c r="B22" s="29" t="s">
        <v>54</v>
      </c>
      <c r="C22" s="30" t="s">
        <v>55</v>
      </c>
      <c r="D22" s="31">
        <f>A22</f>
        <v>8</v>
      </c>
      <c r="E22" s="31" t="str">
        <f>'01. PRZEDMIAR ROBÓT'!D30</f>
        <v>m²</v>
      </c>
      <c r="F22" s="146">
        <f>'01. PRZEDMIAR ROBÓT'!F30</f>
        <v>355</v>
      </c>
      <c r="G22" s="143"/>
      <c r="H22" s="144">
        <f>F22*G22</f>
        <v>0</v>
      </c>
    </row>
    <row r="23" spans="1:8" s="11" customFormat="1" ht="15" customHeight="1">
      <c r="A23" s="44"/>
      <c r="B23" s="44" t="s">
        <v>56</v>
      </c>
      <c r="C23" s="18" t="s">
        <v>57</v>
      </c>
      <c r="D23" s="19"/>
      <c r="E23" s="19"/>
      <c r="F23" s="147"/>
      <c r="G23" s="148"/>
      <c r="H23" s="149">
        <f>H24+H33</f>
        <v>0</v>
      </c>
    </row>
    <row r="24" spans="1:8" s="11" customFormat="1" ht="15" customHeight="1">
      <c r="A24" s="58"/>
      <c r="B24" s="21" t="s">
        <v>58</v>
      </c>
      <c r="C24" s="59" t="s">
        <v>59</v>
      </c>
      <c r="D24" s="24"/>
      <c r="E24" s="24"/>
      <c r="F24" s="150"/>
      <c r="G24" s="145"/>
      <c r="H24" s="140">
        <f>H25</f>
        <v>0</v>
      </c>
    </row>
    <row r="25" spans="1:8" s="11" customFormat="1" ht="15" customHeight="1">
      <c r="A25" s="63"/>
      <c r="B25" s="27" t="s">
        <v>60</v>
      </c>
      <c r="C25" s="59" t="s">
        <v>61</v>
      </c>
      <c r="D25" s="24"/>
      <c r="E25" s="24"/>
      <c r="F25" s="150"/>
      <c r="G25" s="145"/>
      <c r="H25" s="141">
        <f>SUM(H26:H32)</f>
        <v>0</v>
      </c>
    </row>
    <row r="26" spans="1:8" s="11" customFormat="1" ht="30" customHeight="1">
      <c r="A26" s="29">
        <f>MAX($A$7:A25)+1</f>
        <v>9</v>
      </c>
      <c r="B26" s="64" t="s">
        <v>62</v>
      </c>
      <c r="C26" s="30" t="s">
        <v>63</v>
      </c>
      <c r="D26" s="31">
        <f aca="true" t="shared" si="1" ref="D26:D32">A26</f>
        <v>9</v>
      </c>
      <c r="E26" s="31" t="str">
        <f>'01. PRZEDMIAR ROBÓT'!D35</f>
        <v>m³</v>
      </c>
      <c r="F26" s="31">
        <f>'01. PRZEDMIAR ROBÓT'!F35</f>
        <v>3.8000000000000003</v>
      </c>
      <c r="G26" s="143"/>
      <c r="H26" s="151">
        <f aca="true" t="shared" si="2" ref="H26:H32">F26*G26</f>
        <v>0</v>
      </c>
    </row>
    <row r="27" spans="1:8" s="11" customFormat="1" ht="45" customHeight="1">
      <c r="A27" s="29">
        <f>MAX($A$7:A26)+1</f>
        <v>10</v>
      </c>
      <c r="B27" s="64" t="s">
        <v>67</v>
      </c>
      <c r="C27" s="30" t="s">
        <v>68</v>
      </c>
      <c r="D27" s="31">
        <f t="shared" si="1"/>
        <v>10</v>
      </c>
      <c r="E27" s="31" t="str">
        <f>'01. PRZEDMIAR ROBÓT'!D39</f>
        <v>szt.</v>
      </c>
      <c r="F27" s="142">
        <f>'01. PRZEDMIAR ROBÓT'!F39</f>
        <v>128</v>
      </c>
      <c r="G27" s="143"/>
      <c r="H27" s="151">
        <f t="shared" si="2"/>
        <v>0</v>
      </c>
    </row>
    <row r="28" spans="1:8" s="11" customFormat="1" ht="45" customHeight="1">
      <c r="A28" s="29">
        <f>MAX($A$7:A27)+1</f>
        <v>11</v>
      </c>
      <c r="B28" s="64" t="s">
        <v>72</v>
      </c>
      <c r="C28" s="30" t="s">
        <v>73</v>
      </c>
      <c r="D28" s="31">
        <f t="shared" si="1"/>
        <v>11</v>
      </c>
      <c r="E28" s="31" t="str">
        <f>'01. PRZEDMIAR ROBÓT'!D42</f>
        <v>szt.</v>
      </c>
      <c r="F28" s="142">
        <f>'01. PRZEDMIAR ROBÓT'!F42</f>
        <v>264</v>
      </c>
      <c r="G28" s="143"/>
      <c r="H28" s="151">
        <f t="shared" si="2"/>
        <v>0</v>
      </c>
    </row>
    <row r="29" spans="1:8" s="11" customFormat="1" ht="15" customHeight="1">
      <c r="A29" s="29">
        <f>MAX($A$7:A28)+1</f>
        <v>12</v>
      </c>
      <c r="B29" s="64" t="s">
        <v>78</v>
      </c>
      <c r="C29" s="30" t="s">
        <v>79</v>
      </c>
      <c r="D29" s="31">
        <f t="shared" si="1"/>
        <v>12</v>
      </c>
      <c r="E29" s="31" t="str">
        <f>'01. PRZEDMIAR ROBÓT'!D47</f>
        <v>m²</v>
      </c>
      <c r="F29" s="142">
        <f>'01. PRZEDMIAR ROBÓT'!F47</f>
        <v>38.3</v>
      </c>
      <c r="G29" s="143"/>
      <c r="H29" s="151">
        <f t="shared" si="2"/>
        <v>0</v>
      </c>
    </row>
    <row r="30" spans="1:8" s="11" customFormat="1" ht="30" customHeight="1">
      <c r="A30" s="29">
        <f>MAX($A$7:A29)+1</f>
        <v>13</v>
      </c>
      <c r="B30" s="29" t="s">
        <v>82</v>
      </c>
      <c r="C30" s="68" t="s">
        <v>83</v>
      </c>
      <c r="D30" s="31">
        <f t="shared" si="1"/>
        <v>13</v>
      </c>
      <c r="E30" s="31" t="str">
        <f>'01. PRZEDMIAR ROBÓT'!D50</f>
        <v>szt.</v>
      </c>
      <c r="F30" s="31">
        <f>'01. PRZEDMIAR ROBÓT'!F50</f>
        <v>1</v>
      </c>
      <c r="G30" s="143"/>
      <c r="H30" s="151">
        <f t="shared" si="2"/>
        <v>0</v>
      </c>
    </row>
    <row r="31" spans="1:8" s="11" customFormat="1" ht="15" customHeight="1">
      <c r="A31" s="29">
        <f>MAX($A$7:A30)+1</f>
        <v>14</v>
      </c>
      <c r="B31" s="64" t="s">
        <v>84</v>
      </c>
      <c r="C31" s="30" t="s">
        <v>85</v>
      </c>
      <c r="D31" s="31">
        <f t="shared" si="1"/>
        <v>14</v>
      </c>
      <c r="E31" s="31" t="str">
        <f>'01. PRZEDMIAR ROBÓT'!D51</f>
        <v>szt.</v>
      </c>
      <c r="F31" s="31">
        <f>'01. PRZEDMIAR ROBÓT'!F51</f>
        <v>8</v>
      </c>
      <c r="G31" s="143"/>
      <c r="H31" s="151">
        <f t="shared" si="2"/>
        <v>0</v>
      </c>
    </row>
    <row r="32" spans="1:8" s="11" customFormat="1" ht="45" customHeight="1">
      <c r="A32" s="29">
        <f>MAX($A$7:A31)+1</f>
        <v>15</v>
      </c>
      <c r="B32" s="64" t="s">
        <v>86</v>
      </c>
      <c r="C32" s="30" t="s">
        <v>87</v>
      </c>
      <c r="D32" s="31">
        <f t="shared" si="1"/>
        <v>15</v>
      </c>
      <c r="E32" s="31" t="str">
        <f>'01. PRZEDMIAR ROBÓT'!D54</f>
        <v>kg</v>
      </c>
      <c r="F32" s="146">
        <f>'01. PRZEDMIAR ROBÓT'!F54</f>
        <v>1166</v>
      </c>
      <c r="G32" s="143"/>
      <c r="H32" s="151">
        <f t="shared" si="2"/>
        <v>0</v>
      </c>
    </row>
    <row r="33" spans="1:8" s="11" customFormat="1" ht="15" customHeight="1">
      <c r="A33" s="21"/>
      <c r="B33" s="22" t="s">
        <v>88</v>
      </c>
      <c r="C33" s="23" t="s">
        <v>89</v>
      </c>
      <c r="D33" s="24"/>
      <c r="E33" s="24"/>
      <c r="F33" s="24"/>
      <c r="G33" s="145"/>
      <c r="H33" s="140">
        <f>H34+H38</f>
        <v>0</v>
      </c>
    </row>
    <row r="34" spans="1:8" s="11" customFormat="1" ht="15" customHeight="1">
      <c r="A34" s="27"/>
      <c r="B34" s="28" t="s">
        <v>90</v>
      </c>
      <c r="C34" s="69" t="s">
        <v>91</v>
      </c>
      <c r="D34" s="70"/>
      <c r="E34" s="70"/>
      <c r="F34" s="70"/>
      <c r="G34" s="152"/>
      <c r="H34" s="153">
        <f>SUM(H36:H37)</f>
        <v>0</v>
      </c>
    </row>
    <row r="35" spans="1:8" s="11" customFormat="1" ht="15" customHeight="1">
      <c r="A35" s="27"/>
      <c r="B35" s="28"/>
      <c r="C35" s="72" t="s">
        <v>92</v>
      </c>
      <c r="D35" s="73"/>
      <c r="E35" s="73"/>
      <c r="F35" s="73"/>
      <c r="G35" s="154"/>
      <c r="H35" s="153"/>
    </row>
    <row r="36" spans="1:8" s="11" customFormat="1" ht="45" customHeight="1">
      <c r="A36" s="64">
        <f>MAX($A$7:A35)+1</f>
        <v>16</v>
      </c>
      <c r="B36" s="64" t="s">
        <v>93</v>
      </c>
      <c r="C36" s="30" t="s">
        <v>291</v>
      </c>
      <c r="D36" s="31">
        <f>A36</f>
        <v>16</v>
      </c>
      <c r="E36" s="31" t="str">
        <f>'01. PRZEDMIAR ROBÓT'!D61</f>
        <v>m³</v>
      </c>
      <c r="F36" s="146">
        <f>'01. PRZEDMIAR ROBÓT'!F61</f>
        <v>0.8</v>
      </c>
      <c r="G36" s="143"/>
      <c r="H36" s="144">
        <f>F36*G36</f>
        <v>0</v>
      </c>
    </row>
    <row r="37" spans="1:8" s="11" customFormat="1" ht="60" customHeight="1">
      <c r="A37" s="64">
        <f>MAX($A$7:A36)+1</f>
        <v>17</v>
      </c>
      <c r="B37" s="64" t="s">
        <v>95</v>
      </c>
      <c r="C37" s="30" t="s">
        <v>96</v>
      </c>
      <c r="D37" s="31">
        <f>A37</f>
        <v>17</v>
      </c>
      <c r="E37" s="31" t="str">
        <f>'01. PRZEDMIAR ROBÓT'!D64</f>
        <v>m³</v>
      </c>
      <c r="F37" s="146">
        <f>'01. PRZEDMIAR ROBÓT'!F64</f>
        <v>2.6</v>
      </c>
      <c r="G37" s="143"/>
      <c r="H37" s="144">
        <f>F37*G37</f>
        <v>0</v>
      </c>
    </row>
    <row r="38" spans="1:8" s="11" customFormat="1" ht="15" customHeight="1">
      <c r="A38" s="27"/>
      <c r="B38" s="28" t="s">
        <v>97</v>
      </c>
      <c r="C38" s="69" t="s">
        <v>98</v>
      </c>
      <c r="D38" s="70"/>
      <c r="E38" s="70"/>
      <c r="F38" s="70"/>
      <c r="G38" s="152"/>
      <c r="H38" s="153">
        <f>SUM(H40:H41)</f>
        <v>0</v>
      </c>
    </row>
    <row r="39" spans="1:8" s="11" customFormat="1" ht="15" customHeight="1">
      <c r="A39" s="27"/>
      <c r="B39" s="28"/>
      <c r="C39" s="72" t="s">
        <v>99</v>
      </c>
      <c r="D39" s="73"/>
      <c r="E39" s="73"/>
      <c r="F39" s="73"/>
      <c r="G39" s="154"/>
      <c r="H39" s="153"/>
    </row>
    <row r="40" spans="1:8" s="11" customFormat="1" ht="15" customHeight="1">
      <c r="A40" s="29">
        <f>MAX($A$7:A38)+1</f>
        <v>18</v>
      </c>
      <c r="B40" s="29" t="s">
        <v>100</v>
      </c>
      <c r="C40" s="30" t="s">
        <v>101</v>
      </c>
      <c r="D40" s="31">
        <f>A40</f>
        <v>18</v>
      </c>
      <c r="E40" s="31" t="str">
        <f>'01. PRZEDMIAR ROBÓT'!D69</f>
        <v>dm³</v>
      </c>
      <c r="F40" s="146">
        <f>'01. PRZEDMIAR ROBÓT'!F69</f>
        <v>84.4</v>
      </c>
      <c r="G40" s="143"/>
      <c r="H40" s="144">
        <f>F40*G40</f>
        <v>0</v>
      </c>
    </row>
    <row r="41" spans="1:8" s="11" customFormat="1" ht="45" customHeight="1">
      <c r="A41" s="29">
        <f>MAX($A$7:A40)+1</f>
        <v>19</v>
      </c>
      <c r="B41" s="29" t="s">
        <v>104</v>
      </c>
      <c r="C41" s="30" t="s">
        <v>292</v>
      </c>
      <c r="D41" s="31">
        <f>A41</f>
        <v>19</v>
      </c>
      <c r="E41" s="31" t="str">
        <f>'01. PRZEDMIAR ROBÓT'!D71</f>
        <v>dm³</v>
      </c>
      <c r="F41" s="146">
        <f>'01. PRZEDMIAR ROBÓT'!F71</f>
        <v>84.4</v>
      </c>
      <c r="G41" s="143"/>
      <c r="H41" s="144">
        <f>F41*G41</f>
        <v>0</v>
      </c>
    </row>
    <row r="42" spans="1:8" s="43" customFormat="1" ht="15" customHeight="1">
      <c r="A42" s="44"/>
      <c r="B42" s="44" t="s">
        <v>106</v>
      </c>
      <c r="C42" s="18" t="s">
        <v>107</v>
      </c>
      <c r="D42" s="19"/>
      <c r="E42" s="19"/>
      <c r="F42" s="147"/>
      <c r="G42" s="148"/>
      <c r="H42" s="149">
        <f>H43+H50</f>
        <v>0</v>
      </c>
    </row>
    <row r="43" spans="1:8" s="11" customFormat="1" ht="15" customHeight="1">
      <c r="A43" s="58"/>
      <c r="B43" s="21" t="s">
        <v>108</v>
      </c>
      <c r="C43" s="59" t="s">
        <v>109</v>
      </c>
      <c r="D43" s="24"/>
      <c r="E43" s="24"/>
      <c r="F43" s="150"/>
      <c r="G43" s="145"/>
      <c r="H43" s="140">
        <f>H44</f>
        <v>0</v>
      </c>
    </row>
    <row r="44" spans="1:8" s="11" customFormat="1" ht="15" customHeight="1">
      <c r="A44" s="63"/>
      <c r="B44" s="27" t="s">
        <v>110</v>
      </c>
      <c r="C44" s="59" t="s">
        <v>111</v>
      </c>
      <c r="D44" s="24"/>
      <c r="E44" s="24"/>
      <c r="F44" s="150"/>
      <c r="G44" s="145"/>
      <c r="H44" s="141">
        <f>SUM(H45:H49)</f>
        <v>0</v>
      </c>
    </row>
    <row r="45" spans="1:8" s="41" customFormat="1" ht="45" customHeight="1">
      <c r="A45" s="64">
        <f>MAX($A$7:A44)+1</f>
        <v>20</v>
      </c>
      <c r="B45" s="64" t="s">
        <v>112</v>
      </c>
      <c r="C45" s="68" t="s">
        <v>113</v>
      </c>
      <c r="D45" s="31">
        <f>A45</f>
        <v>20</v>
      </c>
      <c r="E45" s="31" t="str">
        <f>'01. PRZEDMIAR ROBÓT'!D77</f>
        <v>m³</v>
      </c>
      <c r="F45" s="31">
        <f>'01. PRZEDMIAR ROBÓT'!F77</f>
        <v>7.2</v>
      </c>
      <c r="G45" s="143"/>
      <c r="H45" s="144">
        <f>F45*G45</f>
        <v>0</v>
      </c>
    </row>
    <row r="46" spans="1:8" s="41" customFormat="1" ht="45" customHeight="1">
      <c r="A46" s="64">
        <f>MAX($A$7:A45)+1</f>
        <v>21</v>
      </c>
      <c r="B46" s="64" t="s">
        <v>115</v>
      </c>
      <c r="C46" s="30" t="s">
        <v>116</v>
      </c>
      <c r="D46" s="31">
        <f>A46</f>
        <v>21</v>
      </c>
      <c r="E46" s="31" t="str">
        <f>'01. PRZEDMIAR ROBÓT'!D79</f>
        <v>szt.</v>
      </c>
      <c r="F46" s="142">
        <f>'01. PRZEDMIAR ROBÓT'!F79</f>
        <v>1110</v>
      </c>
      <c r="G46" s="143"/>
      <c r="H46" s="144">
        <f>F46*G46</f>
        <v>0</v>
      </c>
    </row>
    <row r="47" spans="1:8" s="41" customFormat="1" ht="15" customHeight="1">
      <c r="A47" s="64">
        <f>MAX($A$7:A46)+1</f>
        <v>22</v>
      </c>
      <c r="B47" s="155" t="s">
        <v>118</v>
      </c>
      <c r="C47" s="81" t="s">
        <v>85</v>
      </c>
      <c r="D47" s="31">
        <f>A47</f>
        <v>22</v>
      </c>
      <c r="E47" s="31" t="str">
        <f>'01. PRZEDMIAR ROBÓT'!D82</f>
        <v>szt.</v>
      </c>
      <c r="F47" s="31">
        <f>'01. PRZEDMIAR ROBÓT'!F82</f>
        <v>4</v>
      </c>
      <c r="G47" s="143"/>
      <c r="H47" s="144">
        <f>F47*G47</f>
        <v>0</v>
      </c>
    </row>
    <row r="48" spans="1:8" s="41" customFormat="1" ht="15" customHeight="1">
      <c r="A48" s="64">
        <f>MAX($A$7:A47)+1</f>
        <v>23</v>
      </c>
      <c r="B48" s="155" t="s">
        <v>120</v>
      </c>
      <c r="C48" s="30" t="s">
        <v>121</v>
      </c>
      <c r="D48" s="31">
        <f>A48</f>
        <v>23</v>
      </c>
      <c r="E48" s="31" t="str">
        <f>'01. PRZEDMIAR ROBÓT'!D84</f>
        <v>m²</v>
      </c>
      <c r="F48" s="142">
        <f>'01. PRZEDMIAR ROBÓT'!F84</f>
        <v>124.63000000000001</v>
      </c>
      <c r="G48" s="143"/>
      <c r="H48" s="144">
        <f>F48*G48</f>
        <v>0</v>
      </c>
    </row>
    <row r="49" spans="1:8" s="41" customFormat="1" ht="30" customHeight="1">
      <c r="A49" s="29">
        <f>MAX($A$7:A48)+1</f>
        <v>24</v>
      </c>
      <c r="B49" s="80" t="s">
        <v>122</v>
      </c>
      <c r="C49" s="81" t="s">
        <v>123</v>
      </c>
      <c r="D49" s="31">
        <f>A49</f>
        <v>24</v>
      </c>
      <c r="E49" s="31" t="str">
        <f>'01. PRZEDMIAR ROBÓT'!D86</f>
        <v>kg</v>
      </c>
      <c r="F49" s="146">
        <f>'01. PRZEDMIAR ROBÓT'!F86</f>
        <v>1531</v>
      </c>
      <c r="G49" s="143"/>
      <c r="H49" s="144">
        <f>F49*G49</f>
        <v>0</v>
      </c>
    </row>
    <row r="50" spans="1:8" s="11" customFormat="1" ht="15" customHeight="1">
      <c r="A50" s="21"/>
      <c r="B50" s="22" t="s">
        <v>124</v>
      </c>
      <c r="C50" s="23" t="s">
        <v>125</v>
      </c>
      <c r="D50" s="24"/>
      <c r="E50" s="24"/>
      <c r="F50" s="24"/>
      <c r="G50" s="145"/>
      <c r="H50" s="140">
        <f>H51+H55</f>
        <v>0</v>
      </c>
    </row>
    <row r="51" spans="1:8" s="11" customFormat="1" ht="15" customHeight="1">
      <c r="A51" s="27"/>
      <c r="B51" s="28" t="s">
        <v>126</v>
      </c>
      <c r="C51" s="69" t="s">
        <v>127</v>
      </c>
      <c r="D51" s="70"/>
      <c r="E51" s="70"/>
      <c r="F51" s="70"/>
      <c r="G51" s="152"/>
      <c r="H51" s="153">
        <f>SUM(H53:H54)</f>
        <v>0</v>
      </c>
    </row>
    <row r="52" spans="1:8" s="11" customFormat="1" ht="15" customHeight="1">
      <c r="A52" s="27"/>
      <c r="B52" s="28"/>
      <c r="C52" s="72" t="s">
        <v>92</v>
      </c>
      <c r="D52" s="73"/>
      <c r="E52" s="73"/>
      <c r="F52" s="73"/>
      <c r="G52" s="154"/>
      <c r="H52" s="153"/>
    </row>
    <row r="53" spans="1:8" s="41" customFormat="1" ht="45" customHeight="1">
      <c r="A53" s="64">
        <f>MAX($A$7:A52)+1</f>
        <v>25</v>
      </c>
      <c r="B53" s="64" t="s">
        <v>128</v>
      </c>
      <c r="C53" s="30" t="s">
        <v>129</v>
      </c>
      <c r="D53" s="31">
        <f>A53</f>
        <v>25</v>
      </c>
      <c r="E53" s="31" t="str">
        <f>'01. PRZEDMIAR ROBÓT'!D91</f>
        <v>m³</v>
      </c>
      <c r="F53" s="146">
        <f>'01. PRZEDMIAR ROBÓT'!F91</f>
        <v>1.1</v>
      </c>
      <c r="G53" s="143"/>
      <c r="H53" s="144">
        <f>F53*G53</f>
        <v>0</v>
      </c>
    </row>
    <row r="54" spans="1:8" s="41" customFormat="1" ht="45" customHeight="1">
      <c r="A54" s="64">
        <f>MAX($A$7:A53)+1</f>
        <v>26</v>
      </c>
      <c r="B54" s="64" t="s">
        <v>130</v>
      </c>
      <c r="C54" s="30" t="s">
        <v>131</v>
      </c>
      <c r="D54" s="31">
        <f>A54</f>
        <v>26</v>
      </c>
      <c r="E54" s="31" t="str">
        <f>'01. PRZEDMIAR ROBÓT'!D93</f>
        <v>m³</v>
      </c>
      <c r="F54" s="146">
        <f>'01. PRZEDMIAR ROBÓT'!F93</f>
        <v>4.4</v>
      </c>
      <c r="G54" s="143"/>
      <c r="H54" s="144">
        <f>F54*G54</f>
        <v>0</v>
      </c>
    </row>
    <row r="55" spans="1:8" s="11" customFormat="1" ht="15" customHeight="1">
      <c r="A55" s="27"/>
      <c r="B55" s="28" t="s">
        <v>132</v>
      </c>
      <c r="C55" s="69" t="s">
        <v>133</v>
      </c>
      <c r="D55" s="70"/>
      <c r="E55" s="70"/>
      <c r="F55" s="70"/>
      <c r="G55" s="152"/>
      <c r="H55" s="153">
        <f>SUM(H57:H58)</f>
        <v>0</v>
      </c>
    </row>
    <row r="56" spans="1:8" s="11" customFormat="1" ht="15" customHeight="1">
      <c r="A56" s="27"/>
      <c r="B56" s="28"/>
      <c r="C56" s="72" t="s">
        <v>99</v>
      </c>
      <c r="D56" s="73"/>
      <c r="E56" s="73"/>
      <c r="F56" s="73"/>
      <c r="G56" s="154"/>
      <c r="H56" s="153"/>
    </row>
    <row r="57" spans="1:8" s="41" customFormat="1" ht="15" customHeight="1">
      <c r="A57" s="29">
        <f>MAX($A$7:A56)+1</f>
        <v>27</v>
      </c>
      <c r="B57" s="29" t="s">
        <v>134</v>
      </c>
      <c r="C57" s="30" t="s">
        <v>101</v>
      </c>
      <c r="D57" s="31">
        <f>A57</f>
        <v>27</v>
      </c>
      <c r="E57" s="31" t="str">
        <f>'01. PRZEDMIAR ROBÓT'!D97</f>
        <v>dm³</v>
      </c>
      <c r="F57" s="146">
        <f>'01. PRZEDMIAR ROBÓT'!F97</f>
        <v>172.4</v>
      </c>
      <c r="G57" s="143"/>
      <c r="H57" s="144">
        <f>F57*G57</f>
        <v>0</v>
      </c>
    </row>
    <row r="58" spans="1:8" s="41" customFormat="1" ht="30" customHeight="1">
      <c r="A58" s="64">
        <f>MAX($A$7:A57)+1</f>
        <v>28</v>
      </c>
      <c r="B58" s="64" t="s">
        <v>135</v>
      </c>
      <c r="C58" s="30" t="s">
        <v>136</v>
      </c>
      <c r="D58" s="31">
        <f>A58</f>
        <v>28</v>
      </c>
      <c r="E58" s="31" t="str">
        <f>'01. PRZEDMIAR ROBÓT'!D99</f>
        <v>dm³</v>
      </c>
      <c r="F58" s="146">
        <f>'01. PRZEDMIAR ROBÓT'!F99</f>
        <v>172.4</v>
      </c>
      <c r="G58" s="143"/>
      <c r="H58" s="144">
        <f>F58*G58</f>
        <v>0</v>
      </c>
    </row>
    <row r="59" spans="1:8" s="43" customFormat="1" ht="15" customHeight="1">
      <c r="A59" s="44"/>
      <c r="B59" s="44" t="s">
        <v>137</v>
      </c>
      <c r="C59" s="18" t="s">
        <v>138</v>
      </c>
      <c r="D59" s="19"/>
      <c r="E59" s="19"/>
      <c r="F59" s="147"/>
      <c r="G59" s="148"/>
      <c r="H59" s="149">
        <f>H60</f>
        <v>0</v>
      </c>
    </row>
    <row r="60" spans="1:8" s="11" customFormat="1" ht="15" customHeight="1">
      <c r="A60" s="58"/>
      <c r="B60" s="21" t="s">
        <v>139</v>
      </c>
      <c r="C60" s="59" t="s">
        <v>140</v>
      </c>
      <c r="D60" s="24"/>
      <c r="E60" s="24"/>
      <c r="F60" s="150"/>
      <c r="G60" s="145"/>
      <c r="H60" s="140">
        <f>H61</f>
        <v>0</v>
      </c>
    </row>
    <row r="61" spans="1:8" s="11" customFormat="1" ht="15" customHeight="1">
      <c r="A61" s="63"/>
      <c r="B61" s="27" t="s">
        <v>141</v>
      </c>
      <c r="C61" s="59" t="s">
        <v>142</v>
      </c>
      <c r="D61" s="24"/>
      <c r="E61" s="24"/>
      <c r="F61" s="150"/>
      <c r="G61" s="145"/>
      <c r="H61" s="141">
        <f>SUM(H62)</f>
        <v>0</v>
      </c>
    </row>
    <row r="62" spans="1:8" s="41" customFormat="1" ht="45" customHeight="1">
      <c r="A62" s="64">
        <f>MAX($A$7:A61)+1</f>
        <v>29</v>
      </c>
      <c r="B62" s="64" t="s">
        <v>143</v>
      </c>
      <c r="C62" s="68" t="s">
        <v>144</v>
      </c>
      <c r="D62" s="31">
        <f>A62</f>
        <v>29</v>
      </c>
      <c r="E62" s="31" t="str">
        <f>'01. PRZEDMIAR ROBÓT'!D104</f>
        <v>m</v>
      </c>
      <c r="F62" s="146">
        <f>'01. PRZEDMIAR ROBÓT'!F104</f>
        <v>15.34</v>
      </c>
      <c r="G62" s="143"/>
      <c r="H62" s="144">
        <f>F62*G62</f>
        <v>0</v>
      </c>
    </row>
    <row r="63" spans="1:8" s="11" customFormat="1" ht="13.5" customHeight="1">
      <c r="A63" s="89"/>
      <c r="B63" s="90" t="s">
        <v>145</v>
      </c>
      <c r="C63" s="18" t="s">
        <v>146</v>
      </c>
      <c r="D63" s="19"/>
      <c r="E63" s="19"/>
      <c r="F63" s="147"/>
      <c r="G63" s="148"/>
      <c r="H63" s="149">
        <f>H64+H68</f>
        <v>0</v>
      </c>
    </row>
    <row r="64" spans="1:8" s="11" customFormat="1" ht="13.5" customHeight="1">
      <c r="A64" s="21"/>
      <c r="B64" s="27" t="s">
        <v>147</v>
      </c>
      <c r="C64" s="23" t="s">
        <v>148</v>
      </c>
      <c r="D64" s="24"/>
      <c r="E64" s="24"/>
      <c r="F64" s="150"/>
      <c r="G64" s="145"/>
      <c r="H64" s="140">
        <f>H65</f>
        <v>0</v>
      </c>
    </row>
    <row r="65" spans="1:8" s="11" customFormat="1" ht="13.5" customHeight="1">
      <c r="A65" s="21"/>
      <c r="B65" s="27" t="s">
        <v>149</v>
      </c>
      <c r="C65" s="23" t="s">
        <v>150</v>
      </c>
      <c r="D65" s="24"/>
      <c r="E65" s="24"/>
      <c r="F65" s="150"/>
      <c r="G65" s="145"/>
      <c r="H65" s="141">
        <f>SUM(H66:H67)</f>
        <v>0</v>
      </c>
    </row>
    <row r="66" spans="1:8" s="12" customFormat="1" ht="12.75">
      <c r="A66" s="29">
        <f>MAX($A$7:A65)+1</f>
        <v>30</v>
      </c>
      <c r="B66" s="29" t="s">
        <v>151</v>
      </c>
      <c r="C66" s="30" t="s">
        <v>152</v>
      </c>
      <c r="D66" s="31">
        <f>A66</f>
        <v>30</v>
      </c>
      <c r="E66" s="31" t="str">
        <f>'01. PRZEDMIAR ROBÓT'!D110</f>
        <v>m²</v>
      </c>
      <c r="F66" s="31">
        <f>'01. PRZEDMIAR ROBÓT'!F110</f>
        <v>152.8</v>
      </c>
      <c r="G66" s="143"/>
      <c r="H66" s="144">
        <f>F66*G66</f>
        <v>0</v>
      </c>
    </row>
    <row r="67" spans="1:8" s="12" customFormat="1" ht="12.75">
      <c r="A67" s="29">
        <f>MAX($A$7:A66)+1</f>
        <v>31</v>
      </c>
      <c r="B67" s="29" t="s">
        <v>154</v>
      </c>
      <c r="C67" s="30" t="s">
        <v>155</v>
      </c>
      <c r="D67" s="31">
        <f>A67</f>
        <v>31</v>
      </c>
      <c r="E67" s="31" t="str">
        <f>'01. PRZEDMIAR ROBÓT'!D113</f>
        <v>m²</v>
      </c>
      <c r="F67" s="31">
        <f>'01. PRZEDMIAR ROBÓT'!F113</f>
        <v>101.5</v>
      </c>
      <c r="G67" s="143"/>
      <c r="H67" s="144">
        <f>F67*G67</f>
        <v>0</v>
      </c>
    </row>
    <row r="68" spans="1:8" s="11" customFormat="1" ht="13.5" customHeight="1">
      <c r="A68" s="21"/>
      <c r="B68" s="27" t="s">
        <v>157</v>
      </c>
      <c r="C68" s="23" t="s">
        <v>158</v>
      </c>
      <c r="D68" s="24"/>
      <c r="E68" s="24"/>
      <c r="F68" s="24"/>
      <c r="G68" s="145"/>
      <c r="H68" s="140">
        <f>H69</f>
        <v>0</v>
      </c>
    </row>
    <row r="69" spans="1:8" s="11" customFormat="1" ht="13.5" customHeight="1">
      <c r="A69" s="21"/>
      <c r="B69" s="27" t="s">
        <v>159</v>
      </c>
      <c r="C69" s="23" t="s">
        <v>160</v>
      </c>
      <c r="D69" s="24"/>
      <c r="E69" s="24"/>
      <c r="F69" s="24"/>
      <c r="G69" s="145"/>
      <c r="H69" s="141">
        <f>SUM(H70:H72)</f>
        <v>0</v>
      </c>
    </row>
    <row r="70" spans="1:8" s="12" customFormat="1" ht="12.75">
      <c r="A70" s="29">
        <f>MAX($A$7:A69)+1</f>
        <v>32</v>
      </c>
      <c r="B70" s="29" t="s">
        <v>161</v>
      </c>
      <c r="C70" s="30" t="s">
        <v>162</v>
      </c>
      <c r="D70" s="31">
        <f>A70</f>
        <v>32</v>
      </c>
      <c r="E70" s="31" t="str">
        <f>'01. PRZEDMIAR ROBÓT'!D119</f>
        <v>m²</v>
      </c>
      <c r="F70" s="31">
        <f>'01. PRZEDMIAR ROBÓT'!F119</f>
        <v>180.6</v>
      </c>
      <c r="G70" s="143"/>
      <c r="H70" s="144">
        <f>F70*G70</f>
        <v>0</v>
      </c>
    </row>
    <row r="71" spans="1:8" s="12" customFormat="1" ht="30" customHeight="1">
      <c r="A71" s="64">
        <f>MAX($A$7:A70)+1</f>
        <v>33</v>
      </c>
      <c r="B71" s="64" t="s">
        <v>163</v>
      </c>
      <c r="C71" s="30" t="s">
        <v>164</v>
      </c>
      <c r="D71" s="31">
        <f>A71</f>
        <v>33</v>
      </c>
      <c r="E71" s="31" t="str">
        <f>'01. PRZEDMIAR ROBÓT'!D120</f>
        <v>m²</v>
      </c>
      <c r="F71" s="31">
        <f>'01. PRZEDMIAR ROBÓT'!F120</f>
        <v>163.5</v>
      </c>
      <c r="G71" s="143"/>
      <c r="H71" s="144">
        <f>F71*G71</f>
        <v>0</v>
      </c>
    </row>
    <row r="72" spans="1:8" s="12" customFormat="1" ht="12.75">
      <c r="A72" s="64">
        <f>MAX($A$7:A71)+1</f>
        <v>34</v>
      </c>
      <c r="B72" s="64" t="s">
        <v>167</v>
      </c>
      <c r="C72" s="30" t="s">
        <v>168</v>
      </c>
      <c r="D72" s="31">
        <f>A72</f>
        <v>34</v>
      </c>
      <c r="E72" s="31" t="str">
        <f>'01. PRZEDMIAR ROBÓT'!D124</f>
        <v>m²</v>
      </c>
      <c r="F72" s="31">
        <f>'01. PRZEDMIAR ROBÓT'!F124</f>
        <v>17.1</v>
      </c>
      <c r="G72" s="143"/>
      <c r="H72" s="144">
        <f>F72*G72</f>
        <v>0</v>
      </c>
    </row>
    <row r="73" spans="1:8" s="11" customFormat="1" ht="13.5" customHeight="1">
      <c r="A73" s="89"/>
      <c r="B73" s="90" t="s">
        <v>169</v>
      </c>
      <c r="C73" s="18" t="s">
        <v>170</v>
      </c>
      <c r="D73" s="19"/>
      <c r="E73" s="19"/>
      <c r="F73" s="19"/>
      <c r="G73" s="148"/>
      <c r="H73" s="149">
        <f>H74+H78+H85</f>
        <v>0</v>
      </c>
    </row>
    <row r="74" spans="1:8" s="11" customFormat="1" ht="13.5" customHeight="1">
      <c r="A74" s="21"/>
      <c r="B74" s="27" t="s">
        <v>171</v>
      </c>
      <c r="C74" s="23" t="s">
        <v>172</v>
      </c>
      <c r="D74" s="24"/>
      <c r="E74" s="24"/>
      <c r="F74" s="24"/>
      <c r="G74" s="145"/>
      <c r="H74" s="140">
        <f>H75</f>
        <v>0</v>
      </c>
    </row>
    <row r="75" spans="1:8" s="11" customFormat="1" ht="13.5" customHeight="1">
      <c r="A75" s="21"/>
      <c r="B75" s="27" t="s">
        <v>173</v>
      </c>
      <c r="C75" s="23" t="s">
        <v>174</v>
      </c>
      <c r="D75" s="24"/>
      <c r="E75" s="24"/>
      <c r="F75" s="24"/>
      <c r="G75" s="145"/>
      <c r="H75" s="141">
        <f>SUM(H76:H77)</f>
        <v>0</v>
      </c>
    </row>
    <row r="76" spans="1:8" s="12" customFormat="1" ht="12.75">
      <c r="A76" s="64">
        <f>MAX($A$7:A75)+1</f>
        <v>35</v>
      </c>
      <c r="B76" s="64" t="s">
        <v>175</v>
      </c>
      <c r="C76" s="30" t="s">
        <v>176</v>
      </c>
      <c r="D76" s="31">
        <f>A76</f>
        <v>35</v>
      </c>
      <c r="E76" s="31" t="str">
        <f>'01. PRZEDMIAR ROBÓT'!D129</f>
        <v>m</v>
      </c>
      <c r="F76" s="31">
        <f>'01. PRZEDMIAR ROBÓT'!F129</f>
        <v>34.4</v>
      </c>
      <c r="G76" s="143"/>
      <c r="H76" s="144">
        <f>F76*G76</f>
        <v>0</v>
      </c>
    </row>
    <row r="77" spans="1:8" s="12" customFormat="1" ht="12.75">
      <c r="A77" s="29">
        <f>MAX($A$7:A76)+1</f>
        <v>36</v>
      </c>
      <c r="B77" s="29" t="s">
        <v>179</v>
      </c>
      <c r="C77" s="30" t="s">
        <v>180</v>
      </c>
      <c r="D77" s="31">
        <f>A77</f>
        <v>36</v>
      </c>
      <c r="E77" s="31" t="str">
        <f>'01. PRZEDMIAR ROBÓT'!D132</f>
        <v>m</v>
      </c>
      <c r="F77" s="31">
        <f>'01. PRZEDMIAR ROBÓT'!F132</f>
        <v>34.4</v>
      </c>
      <c r="G77" s="143"/>
      <c r="H77" s="144">
        <f>F77*G77</f>
        <v>0</v>
      </c>
    </row>
    <row r="78" spans="1:8" s="11" customFormat="1" ht="13.5" customHeight="1">
      <c r="A78" s="21"/>
      <c r="B78" s="27" t="s">
        <v>181</v>
      </c>
      <c r="C78" s="23" t="s">
        <v>182</v>
      </c>
      <c r="D78" s="24"/>
      <c r="E78" s="24"/>
      <c r="F78" s="24"/>
      <c r="G78" s="145"/>
      <c r="H78" s="140">
        <f>H79</f>
        <v>0</v>
      </c>
    </row>
    <row r="79" spans="1:8" s="11" customFormat="1" ht="13.5" customHeight="1">
      <c r="A79" s="21"/>
      <c r="B79" s="27" t="s">
        <v>183</v>
      </c>
      <c r="C79" s="23" t="s">
        <v>184</v>
      </c>
      <c r="D79" s="24"/>
      <c r="E79" s="24"/>
      <c r="F79" s="24"/>
      <c r="G79" s="145"/>
      <c r="H79" s="141">
        <f>SUM(H80:H84)</f>
        <v>0</v>
      </c>
    </row>
    <row r="80" spans="1:8" s="12" customFormat="1" ht="12.75">
      <c r="A80" s="64">
        <f>MAX($A$7:A79)+1</f>
        <v>37</v>
      </c>
      <c r="B80" s="64" t="s">
        <v>185</v>
      </c>
      <c r="C80" s="30" t="s">
        <v>186</v>
      </c>
      <c r="D80" s="31">
        <f>A80</f>
        <v>37</v>
      </c>
      <c r="E80" s="31" t="str">
        <f>'01. PRZEDMIAR ROBÓT'!D135</f>
        <v>m³</v>
      </c>
      <c r="F80" s="31">
        <f>'01. PRZEDMIAR ROBÓT'!F135</f>
        <v>1.8</v>
      </c>
      <c r="G80" s="143"/>
      <c r="H80" s="144">
        <f>F80*G80</f>
        <v>0</v>
      </c>
    </row>
    <row r="81" spans="1:8" s="12" customFormat="1" ht="12.75">
      <c r="A81" s="64">
        <f>MAX($A$7:A80)+1</f>
        <v>38</v>
      </c>
      <c r="B81" s="156" t="s">
        <v>187</v>
      </c>
      <c r="C81" s="96" t="s">
        <v>188</v>
      </c>
      <c r="D81" s="31">
        <f>A81</f>
        <v>38</v>
      </c>
      <c r="E81" s="31" t="str">
        <f>'01. PRZEDMIAR ROBÓT'!D137</f>
        <v>m³</v>
      </c>
      <c r="F81" s="146">
        <f>'01. PRZEDMIAR ROBÓT'!F137</f>
        <v>6</v>
      </c>
      <c r="G81" s="143"/>
      <c r="H81" s="144">
        <f>F81*G81</f>
        <v>0</v>
      </c>
    </row>
    <row r="82" spans="1:8" s="12" customFormat="1" ht="12.75">
      <c r="A82" s="64">
        <f>MAX($A$7:A81)+1</f>
        <v>39</v>
      </c>
      <c r="B82" s="64" t="s">
        <v>189</v>
      </c>
      <c r="C82" s="30" t="s">
        <v>190</v>
      </c>
      <c r="D82" s="31">
        <f>A82</f>
        <v>39</v>
      </c>
      <c r="E82" s="31" t="str">
        <f>'01. PRZEDMIAR ROBÓT'!D140</f>
        <v>kg</v>
      </c>
      <c r="F82" s="146">
        <f>'01. PRZEDMIAR ROBÓT'!F140</f>
        <v>340</v>
      </c>
      <c r="G82" s="143"/>
      <c r="H82" s="144">
        <f>F82*G82</f>
        <v>0</v>
      </c>
    </row>
    <row r="83" spans="1:8" s="12" customFormat="1" ht="12.75">
      <c r="A83" s="29">
        <f>MAX($A$7:A82)+1</f>
        <v>40</v>
      </c>
      <c r="B83" s="29" t="s">
        <v>192</v>
      </c>
      <c r="C83" s="30" t="s">
        <v>193</v>
      </c>
      <c r="D83" s="31">
        <f>A83</f>
        <v>40</v>
      </c>
      <c r="E83" s="31" t="str">
        <f>'01. PRZEDMIAR ROBÓT'!D142</f>
        <v>m</v>
      </c>
      <c r="F83" s="146">
        <f>'01. PRZEDMIAR ROBÓT'!F142</f>
        <v>12</v>
      </c>
      <c r="G83" s="143"/>
      <c r="H83" s="144">
        <f>F83*G83</f>
        <v>0</v>
      </c>
    </row>
    <row r="84" spans="1:8" s="12" customFormat="1" ht="30" customHeight="1">
      <c r="A84" s="64">
        <f>MAX($A$7:A83)+1</f>
        <v>41</v>
      </c>
      <c r="B84" s="64" t="s">
        <v>194</v>
      </c>
      <c r="C84" s="30" t="s">
        <v>195</v>
      </c>
      <c r="D84" s="31">
        <f>A84</f>
        <v>41</v>
      </c>
      <c r="E84" s="31" t="str">
        <f>'01. PRZEDMIAR ROBÓT'!D143</f>
        <v>kg</v>
      </c>
      <c r="F84" s="146">
        <f>'01. PRZEDMIAR ROBÓT'!F143</f>
        <v>910</v>
      </c>
      <c r="G84" s="143"/>
      <c r="H84" s="144">
        <f>F84*G84</f>
        <v>0</v>
      </c>
    </row>
    <row r="85" spans="1:8" s="11" customFormat="1" ht="13.5" customHeight="1">
      <c r="A85" s="21"/>
      <c r="B85" s="27" t="s">
        <v>196</v>
      </c>
      <c r="C85" s="23" t="s">
        <v>197</v>
      </c>
      <c r="D85" s="24"/>
      <c r="E85" s="24"/>
      <c r="F85" s="24"/>
      <c r="G85" s="145"/>
      <c r="H85" s="140">
        <f>H86</f>
        <v>0</v>
      </c>
    </row>
    <row r="86" spans="1:8" s="11" customFormat="1" ht="13.5" customHeight="1">
      <c r="A86" s="21"/>
      <c r="B86" s="27" t="s">
        <v>198</v>
      </c>
      <c r="C86" s="23" t="s">
        <v>199</v>
      </c>
      <c r="D86" s="24"/>
      <c r="E86" s="24"/>
      <c r="F86" s="24"/>
      <c r="G86" s="145"/>
      <c r="H86" s="141">
        <f>SUM(H87:H88)</f>
        <v>0</v>
      </c>
    </row>
    <row r="87" spans="1:8" s="12" customFormat="1" ht="12.75">
      <c r="A87" s="29">
        <f>MAX($A$7:A86)+1</f>
        <v>42</v>
      </c>
      <c r="B87" s="29" t="s">
        <v>200</v>
      </c>
      <c r="C87" s="30" t="s">
        <v>201</v>
      </c>
      <c r="D87" s="31">
        <f>A87</f>
        <v>42</v>
      </c>
      <c r="E87" s="31" t="str">
        <f>'01. PRZEDMIAR ROBÓT'!D148</f>
        <v>m</v>
      </c>
      <c r="F87" s="31">
        <f>'01. PRZEDMIAR ROBÓT'!F148</f>
        <v>34.5</v>
      </c>
      <c r="G87" s="143"/>
      <c r="H87" s="144">
        <f>F87*G87</f>
        <v>0</v>
      </c>
    </row>
    <row r="88" spans="1:8" s="12" customFormat="1" ht="12.75">
      <c r="A88" s="29">
        <f>MAX($A$7:A87)+1</f>
        <v>43</v>
      </c>
      <c r="B88" s="29" t="s">
        <v>202</v>
      </c>
      <c r="C88" s="30" t="s">
        <v>203</v>
      </c>
      <c r="D88" s="31">
        <f>A88</f>
        <v>43</v>
      </c>
      <c r="E88" s="31" t="str">
        <f>'01. PRZEDMIAR ROBÓT'!D149</f>
        <v>m</v>
      </c>
      <c r="F88" s="31">
        <f>'01. PRZEDMIAR ROBÓT'!F149</f>
        <v>34.5</v>
      </c>
      <c r="G88" s="143"/>
      <c r="H88" s="144">
        <f>F88*G88</f>
        <v>0</v>
      </c>
    </row>
    <row r="89" spans="1:8" s="11" customFormat="1" ht="13.5" customHeight="1">
      <c r="A89" s="89"/>
      <c r="B89" s="90" t="s">
        <v>204</v>
      </c>
      <c r="C89" s="18" t="s">
        <v>205</v>
      </c>
      <c r="D89" s="19"/>
      <c r="E89" s="19"/>
      <c r="F89" s="19"/>
      <c r="G89" s="148"/>
      <c r="H89" s="149">
        <f>H90+H93+H98+H102+H107+H110</f>
        <v>0</v>
      </c>
    </row>
    <row r="90" spans="1:8" s="11" customFormat="1" ht="13.5" customHeight="1">
      <c r="A90" s="21"/>
      <c r="B90" s="27" t="s">
        <v>206</v>
      </c>
      <c r="C90" s="23" t="s">
        <v>207</v>
      </c>
      <c r="D90" s="24"/>
      <c r="E90" s="24"/>
      <c r="F90" s="24"/>
      <c r="G90" s="145"/>
      <c r="H90" s="140">
        <f>H91</f>
        <v>0</v>
      </c>
    </row>
    <row r="91" spans="1:8" s="11" customFormat="1" ht="13.5" customHeight="1">
      <c r="A91" s="21"/>
      <c r="B91" s="27" t="s">
        <v>208</v>
      </c>
      <c r="C91" s="23" t="s">
        <v>207</v>
      </c>
      <c r="D91" s="24"/>
      <c r="E91" s="24"/>
      <c r="F91" s="24"/>
      <c r="G91" s="145"/>
      <c r="H91" s="141">
        <f>SUM(H92)</f>
        <v>0</v>
      </c>
    </row>
    <row r="92" spans="1:8" s="12" customFormat="1" ht="12.75">
      <c r="A92" s="64">
        <f>MAX($A$7:A91)+1</f>
        <v>44</v>
      </c>
      <c r="B92" s="64" t="s">
        <v>209</v>
      </c>
      <c r="C92" s="102" t="s">
        <v>210</v>
      </c>
      <c r="D92" s="31">
        <f>A92</f>
        <v>44</v>
      </c>
      <c r="E92" s="31" t="str">
        <f>'01. PRZEDMIAR ROBÓT'!D153</f>
        <v>m</v>
      </c>
      <c r="F92" s="146">
        <f>'01. PRZEDMIAR ROBÓT'!F153</f>
        <v>25</v>
      </c>
      <c r="G92" s="143"/>
      <c r="H92" s="144">
        <f>F92*G92</f>
        <v>0</v>
      </c>
    </row>
    <row r="93" spans="1:8" s="11" customFormat="1" ht="13.5" customHeight="1">
      <c r="A93" s="21"/>
      <c r="B93" s="27" t="s">
        <v>213</v>
      </c>
      <c r="C93" s="23" t="s">
        <v>214</v>
      </c>
      <c r="D93" s="24"/>
      <c r="E93" s="24"/>
      <c r="F93" s="24"/>
      <c r="G93" s="145"/>
      <c r="H93" s="140">
        <f>H94+H96</f>
        <v>0</v>
      </c>
    </row>
    <row r="94" spans="1:8" s="11" customFormat="1" ht="13.5" customHeight="1">
      <c r="A94" s="21"/>
      <c r="B94" s="27" t="s">
        <v>215</v>
      </c>
      <c r="C94" s="23" t="s">
        <v>216</v>
      </c>
      <c r="D94" s="24"/>
      <c r="E94" s="24"/>
      <c r="F94" s="24"/>
      <c r="G94" s="145"/>
      <c r="H94" s="141">
        <f>SUM(H95)</f>
        <v>0</v>
      </c>
    </row>
    <row r="95" spans="1:8" s="12" customFormat="1" ht="12.75">
      <c r="A95" s="75">
        <f>MAX($A$7:A94)+1</f>
        <v>45</v>
      </c>
      <c r="B95" s="75" t="s">
        <v>217</v>
      </c>
      <c r="C95" s="68" t="s">
        <v>218</v>
      </c>
      <c r="D95" s="31">
        <f>A95</f>
        <v>45</v>
      </c>
      <c r="E95" s="31" t="str">
        <f>'01. PRZEDMIAR ROBÓT'!D158</f>
        <v>m³</v>
      </c>
      <c r="F95" s="31">
        <f>'01. PRZEDMIAR ROBÓT'!F158</f>
        <v>267.4</v>
      </c>
      <c r="G95" s="143"/>
      <c r="H95" s="144">
        <f>F95*G95</f>
        <v>0</v>
      </c>
    </row>
    <row r="96" spans="1:8" s="11" customFormat="1" ht="13.5" customHeight="1">
      <c r="A96" s="21"/>
      <c r="B96" s="27" t="s">
        <v>219</v>
      </c>
      <c r="C96" s="23" t="s">
        <v>220</v>
      </c>
      <c r="D96" s="24"/>
      <c r="E96" s="24"/>
      <c r="F96" s="24"/>
      <c r="G96" s="145"/>
      <c r="H96" s="141">
        <f>SUM(H97)</f>
        <v>0</v>
      </c>
    </row>
    <row r="97" spans="1:8" s="12" customFormat="1" ht="12.75">
      <c r="A97" s="75">
        <f>MAX($A$7:A96)+1</f>
        <v>46</v>
      </c>
      <c r="B97" s="75" t="s">
        <v>221</v>
      </c>
      <c r="C97" s="68" t="s">
        <v>222</v>
      </c>
      <c r="D97" s="31">
        <f>A97</f>
        <v>46</v>
      </c>
      <c r="E97" s="31" t="str">
        <f>'01. PRZEDMIAR ROBÓT'!D162</f>
        <v>m³</v>
      </c>
      <c r="F97" s="31">
        <f>'01. PRZEDMIAR ROBÓT'!F162</f>
        <v>74.7</v>
      </c>
      <c r="G97" s="143"/>
      <c r="H97" s="144">
        <f>F97*G97</f>
        <v>0</v>
      </c>
    </row>
    <row r="98" spans="1:8" s="11" customFormat="1" ht="13.5" customHeight="1">
      <c r="A98" s="21"/>
      <c r="B98" s="27" t="s">
        <v>223</v>
      </c>
      <c r="C98" s="23" t="s">
        <v>224</v>
      </c>
      <c r="D98" s="24"/>
      <c r="E98" s="24"/>
      <c r="F98" s="24"/>
      <c r="G98" s="145"/>
      <c r="H98" s="140">
        <f>H99</f>
        <v>0</v>
      </c>
    </row>
    <row r="99" spans="1:8" s="11" customFormat="1" ht="13.5" customHeight="1">
      <c r="A99" s="21"/>
      <c r="B99" s="27" t="s">
        <v>225</v>
      </c>
      <c r="C99" s="23" t="s">
        <v>224</v>
      </c>
      <c r="D99" s="24"/>
      <c r="E99" s="24"/>
      <c r="F99" s="24"/>
      <c r="G99" s="145"/>
      <c r="H99" s="141">
        <f>SUM(H100:H101)</f>
        <v>0</v>
      </c>
    </row>
    <row r="100" spans="1:8" s="12" customFormat="1" ht="12.75">
      <c r="A100" s="29">
        <f>MAX($A$7:A99)+1</f>
        <v>47</v>
      </c>
      <c r="B100" s="29" t="s">
        <v>226</v>
      </c>
      <c r="C100" s="30" t="s">
        <v>227</v>
      </c>
      <c r="D100" s="31">
        <f>A100</f>
        <v>47</v>
      </c>
      <c r="E100" s="31" t="str">
        <f>'01. PRZEDMIAR ROBÓT'!D167</f>
        <v>m³</v>
      </c>
      <c r="F100" s="31">
        <f>'01. PRZEDMIAR ROBÓT'!F167</f>
        <v>16.6</v>
      </c>
      <c r="G100" s="143"/>
      <c r="H100" s="144">
        <f>F100*G100</f>
        <v>0</v>
      </c>
    </row>
    <row r="101" spans="1:8" s="12" customFormat="1" ht="12.75">
      <c r="A101" s="29">
        <f>MAX($A$7:A100)+1</f>
        <v>48</v>
      </c>
      <c r="B101" s="29" t="s">
        <v>228</v>
      </c>
      <c r="C101" s="30" t="s">
        <v>229</v>
      </c>
      <c r="D101" s="31">
        <f>A101</f>
        <v>48</v>
      </c>
      <c r="E101" s="31" t="str">
        <f>'01. PRZEDMIAR ROBÓT'!D168</f>
        <v>kg</v>
      </c>
      <c r="F101" s="146">
        <f>'01. PRZEDMIAR ROBÓT'!F168</f>
        <v>2834</v>
      </c>
      <c r="G101" s="143"/>
      <c r="H101" s="144">
        <f>F101*G101</f>
        <v>0</v>
      </c>
    </row>
    <row r="102" spans="1:8" s="11" customFormat="1" ht="13.5" customHeight="1">
      <c r="A102" s="21"/>
      <c r="B102" s="27" t="s">
        <v>230</v>
      </c>
      <c r="C102" s="23" t="s">
        <v>231</v>
      </c>
      <c r="D102" s="24"/>
      <c r="E102" s="24"/>
      <c r="F102" s="24"/>
      <c r="G102" s="145"/>
      <c r="H102" s="140">
        <f>H103</f>
        <v>0</v>
      </c>
    </row>
    <row r="103" spans="1:8" s="11" customFormat="1" ht="13.5" customHeight="1">
      <c r="A103" s="21"/>
      <c r="B103" s="27" t="s">
        <v>232</v>
      </c>
      <c r="C103" s="23" t="s">
        <v>231</v>
      </c>
      <c r="D103" s="24"/>
      <c r="E103" s="24"/>
      <c r="F103" s="24"/>
      <c r="G103" s="145"/>
      <c r="H103" s="141">
        <f>SUM(H104:H106)</f>
        <v>0</v>
      </c>
    </row>
    <row r="104" spans="1:8" s="12" customFormat="1" ht="12.75">
      <c r="A104" s="29">
        <f>MAX($A$7:A103)+1</f>
        <v>49</v>
      </c>
      <c r="B104" s="29" t="s">
        <v>233</v>
      </c>
      <c r="C104" s="109" t="s">
        <v>234</v>
      </c>
      <c r="D104" s="31">
        <f>A104</f>
        <v>49</v>
      </c>
      <c r="E104" s="31" t="str">
        <f>'01. PRZEDMIAR ROBÓT'!D171</f>
        <v>m²</v>
      </c>
      <c r="F104" s="31">
        <f>'01. PRZEDMIAR ROBÓT'!F171</f>
        <v>82.19999999999999</v>
      </c>
      <c r="G104" s="143"/>
      <c r="H104" s="144">
        <f>F104*G104</f>
        <v>0</v>
      </c>
    </row>
    <row r="105" spans="1:8" s="12" customFormat="1" ht="45" customHeight="1">
      <c r="A105" s="29">
        <f>MAX($A$7:A104)+1</f>
        <v>50</v>
      </c>
      <c r="B105" s="29" t="s">
        <v>235</v>
      </c>
      <c r="C105" s="109" t="s">
        <v>236</v>
      </c>
      <c r="D105" s="31">
        <f>A105</f>
        <v>50</v>
      </c>
      <c r="E105" s="31" t="str">
        <f>'01. PRZEDMIAR ROBÓT'!D174</f>
        <v>m³</v>
      </c>
      <c r="F105" s="31">
        <f>'01. PRZEDMIAR ROBÓT'!F174</f>
        <v>10.1</v>
      </c>
      <c r="G105" s="143"/>
      <c r="H105" s="144">
        <f>F105*G105</f>
        <v>0</v>
      </c>
    </row>
    <row r="106" spans="1:8" s="12" customFormat="1" ht="30" customHeight="1">
      <c r="A106" s="29">
        <f>MAX($A$7:A105)+1</f>
        <v>51</v>
      </c>
      <c r="B106" s="29" t="s">
        <v>237</v>
      </c>
      <c r="C106" s="109" t="s">
        <v>238</v>
      </c>
      <c r="D106" s="31">
        <f>A106</f>
        <v>51</v>
      </c>
      <c r="E106" s="31" t="str">
        <f>'01. PRZEDMIAR ROBÓT'!D177</f>
        <v>kg</v>
      </c>
      <c r="F106" s="31">
        <f>'01. PRZEDMIAR ROBÓT'!F177</f>
        <v>544.8</v>
      </c>
      <c r="G106" s="143"/>
      <c r="H106" s="144">
        <f>F106*G106</f>
        <v>0</v>
      </c>
    </row>
    <row r="107" spans="1:8" s="12" customFormat="1" ht="12.75">
      <c r="A107" s="27"/>
      <c r="B107" s="27" t="s">
        <v>239</v>
      </c>
      <c r="C107" s="85" t="s">
        <v>240</v>
      </c>
      <c r="D107" s="24"/>
      <c r="E107" s="24"/>
      <c r="F107" s="24"/>
      <c r="G107" s="145"/>
      <c r="H107" s="140">
        <f>H108</f>
        <v>0</v>
      </c>
    </row>
    <row r="108" spans="1:8" s="12" customFormat="1" ht="12.75">
      <c r="A108" s="27"/>
      <c r="B108" s="27" t="s">
        <v>241</v>
      </c>
      <c r="C108" s="85" t="s">
        <v>242</v>
      </c>
      <c r="D108" s="24"/>
      <c r="E108" s="24"/>
      <c r="F108" s="24"/>
      <c r="G108" s="145"/>
      <c r="H108" s="141">
        <f>SUM(H109)</f>
        <v>0</v>
      </c>
    </row>
    <row r="109" spans="1:8" s="12" customFormat="1" ht="12.75">
      <c r="A109" s="29">
        <f>MAX($A$7:A108)+1</f>
        <v>52</v>
      </c>
      <c r="B109" s="29" t="s">
        <v>243</v>
      </c>
      <c r="C109" s="30" t="s">
        <v>244</v>
      </c>
      <c r="D109" s="31">
        <f>A109</f>
        <v>52</v>
      </c>
      <c r="E109" s="31" t="str">
        <f>'01. PRZEDMIAR ROBÓT'!D182</f>
        <v>m</v>
      </c>
      <c r="F109" s="31">
        <f>'01. PRZEDMIAR ROBÓT'!F182</f>
        <v>28.8</v>
      </c>
      <c r="G109" s="143"/>
      <c r="H109" s="144">
        <f>F109*G109</f>
        <v>0</v>
      </c>
    </row>
    <row r="110" spans="1:8" s="11" customFormat="1" ht="13.5" customHeight="1">
      <c r="A110" s="21"/>
      <c r="B110" s="27" t="s">
        <v>245</v>
      </c>
      <c r="C110" s="23" t="s">
        <v>246</v>
      </c>
      <c r="D110" s="24"/>
      <c r="E110" s="24"/>
      <c r="F110" s="24"/>
      <c r="G110" s="145"/>
      <c r="H110" s="140">
        <f>H111+H113</f>
        <v>0</v>
      </c>
    </row>
    <row r="111" spans="1:8" s="11" customFormat="1" ht="13.5" customHeight="1">
      <c r="A111" s="21"/>
      <c r="B111" s="27" t="s">
        <v>247</v>
      </c>
      <c r="C111" s="23" t="s">
        <v>248</v>
      </c>
      <c r="D111" s="24"/>
      <c r="E111" s="24"/>
      <c r="F111" s="24"/>
      <c r="G111" s="145"/>
      <c r="H111" s="141">
        <f>SUM(H112)</f>
        <v>0</v>
      </c>
    </row>
    <row r="112" spans="1:8" s="12" customFormat="1" ht="12.75">
      <c r="A112" s="31">
        <f>MAX($A$7:A111)+1</f>
        <v>53</v>
      </c>
      <c r="B112" s="31" t="s">
        <v>249</v>
      </c>
      <c r="C112" s="68" t="s">
        <v>250</v>
      </c>
      <c r="D112" s="31">
        <f>A112</f>
        <v>53</v>
      </c>
      <c r="E112" s="31" t="str">
        <f>'01. PRZEDMIAR ROBÓT'!D187</f>
        <v>m</v>
      </c>
      <c r="F112" s="31">
        <f>'01. PRZEDMIAR ROBÓT'!F187</f>
        <v>18.3</v>
      </c>
      <c r="G112" s="143"/>
      <c r="H112" s="144">
        <f>F112*G112</f>
        <v>0</v>
      </c>
    </row>
    <row r="113" spans="1:8" s="11" customFormat="1" ht="13.5" customHeight="1">
      <c r="A113" s="21"/>
      <c r="B113" s="27" t="s">
        <v>251</v>
      </c>
      <c r="C113" s="23" t="s">
        <v>252</v>
      </c>
      <c r="D113" s="24"/>
      <c r="E113" s="24"/>
      <c r="F113" s="24"/>
      <c r="G113" s="145"/>
      <c r="H113" s="141">
        <f>SUM(H114)</f>
        <v>0</v>
      </c>
    </row>
    <row r="114" spans="1:8" s="12" customFormat="1" ht="12.75">
      <c r="A114" s="31">
        <f>MAX($A$7:A113)+1</f>
        <v>54</v>
      </c>
      <c r="B114" s="31" t="s">
        <v>253</v>
      </c>
      <c r="C114" s="68" t="s">
        <v>254</v>
      </c>
      <c r="D114" s="31">
        <f>A114</f>
        <v>54</v>
      </c>
      <c r="E114" s="31" t="str">
        <f>'01. PRZEDMIAR ROBÓT'!D189</f>
        <v>m³</v>
      </c>
      <c r="F114" s="31">
        <f>'01. PRZEDMIAR ROBÓT'!F189</f>
        <v>47.4</v>
      </c>
      <c r="G114" s="143"/>
      <c r="H114" s="144">
        <f>F114*G114</f>
        <v>0</v>
      </c>
    </row>
    <row r="115" spans="1:8" s="11" customFormat="1" ht="13.5" customHeight="1">
      <c r="A115" s="89"/>
      <c r="B115" s="90" t="s">
        <v>255</v>
      </c>
      <c r="C115" s="18" t="s">
        <v>256</v>
      </c>
      <c r="D115" s="19"/>
      <c r="E115" s="19"/>
      <c r="F115" s="19"/>
      <c r="G115" s="148"/>
      <c r="H115" s="149">
        <f>H116+H123+H127</f>
        <v>0</v>
      </c>
    </row>
    <row r="116" spans="1:8" s="11" customFormat="1" ht="13.5" customHeight="1">
      <c r="A116" s="21"/>
      <c r="B116" s="27" t="s">
        <v>257</v>
      </c>
      <c r="C116" s="23" t="s">
        <v>258</v>
      </c>
      <c r="D116" s="24"/>
      <c r="E116" s="24"/>
      <c r="F116" s="24"/>
      <c r="G116" s="145"/>
      <c r="H116" s="140">
        <f>H117+H120</f>
        <v>0</v>
      </c>
    </row>
    <row r="117" spans="1:8" s="11" customFormat="1" ht="13.5" customHeight="1">
      <c r="A117" s="21"/>
      <c r="B117" s="27" t="s">
        <v>259</v>
      </c>
      <c r="C117" s="23" t="s">
        <v>260</v>
      </c>
      <c r="D117" s="24"/>
      <c r="E117" s="24"/>
      <c r="F117" s="24"/>
      <c r="G117" s="145"/>
      <c r="H117" s="141">
        <f>SUM(H118:H119)</f>
        <v>0</v>
      </c>
    </row>
    <row r="118" spans="1:8" s="12" customFormat="1" ht="12.75">
      <c r="A118" s="29">
        <f>MAX($A$7:A117)+1</f>
        <v>55</v>
      </c>
      <c r="B118" s="29" t="s">
        <v>261</v>
      </c>
      <c r="C118" s="30" t="s">
        <v>293</v>
      </c>
      <c r="D118" s="31">
        <f>A118</f>
        <v>55</v>
      </c>
      <c r="E118" s="31" t="str">
        <f>'01. PRZEDMIAR ROBÓT'!D193</f>
        <v>m²</v>
      </c>
      <c r="F118" s="31">
        <f>'01. PRZEDMIAR ROBÓT'!F193</f>
        <v>70.7</v>
      </c>
      <c r="G118" s="143"/>
      <c r="H118" s="144">
        <f>F118*G118</f>
        <v>0</v>
      </c>
    </row>
    <row r="119" spans="1:8" s="12" customFormat="1" ht="12.75">
      <c r="A119" s="29">
        <f>MAX($A$7:A118)+1</f>
        <v>56</v>
      </c>
      <c r="B119" s="29" t="s">
        <v>263</v>
      </c>
      <c r="C119" s="30" t="s">
        <v>264</v>
      </c>
      <c r="D119" s="31">
        <f>A119</f>
        <v>56</v>
      </c>
      <c r="E119" s="31" t="str">
        <f>'01. PRZEDMIAR ROBÓT'!D194</f>
        <v>m</v>
      </c>
      <c r="F119" s="31">
        <f>'01. PRZEDMIAR ROBÓT'!F194</f>
        <v>23.3</v>
      </c>
      <c r="G119" s="143"/>
      <c r="H119" s="144">
        <f>F119*G119</f>
        <v>0</v>
      </c>
    </row>
    <row r="120" spans="1:8" s="11" customFormat="1" ht="13.5" customHeight="1">
      <c r="A120" s="21"/>
      <c r="B120" s="27" t="s">
        <v>265</v>
      </c>
      <c r="C120" s="23" t="s">
        <v>266</v>
      </c>
      <c r="D120" s="24"/>
      <c r="E120" s="24"/>
      <c r="F120" s="24"/>
      <c r="G120" s="145"/>
      <c r="H120" s="141">
        <f>SUM(H121:H122)</f>
        <v>0</v>
      </c>
    </row>
    <row r="121" spans="1:8" s="12" customFormat="1" ht="12.75">
      <c r="A121" s="29">
        <f>MAX($A$7:A120)+1</f>
        <v>57</v>
      </c>
      <c r="B121" s="29" t="s">
        <v>267</v>
      </c>
      <c r="C121" s="30" t="s">
        <v>268</v>
      </c>
      <c r="D121" s="31">
        <f>A121</f>
        <v>57</v>
      </c>
      <c r="E121" s="31" t="str">
        <f>'01. PRZEDMIAR ROBÓT'!D196</f>
        <v>m²</v>
      </c>
      <c r="F121" s="31">
        <f>'01. PRZEDMIAR ROBÓT'!F196</f>
        <v>70.7</v>
      </c>
      <c r="G121" s="143"/>
      <c r="H121" s="144">
        <f>F121*G121</f>
        <v>0</v>
      </c>
    </row>
    <row r="122" spans="1:8" s="12" customFormat="1" ht="12.75">
      <c r="A122" s="29">
        <f>MAX($A$7:A121)+1</f>
        <v>58</v>
      </c>
      <c r="B122" s="29" t="s">
        <v>269</v>
      </c>
      <c r="C122" s="30" t="s">
        <v>264</v>
      </c>
      <c r="D122" s="31">
        <f>A122</f>
        <v>58</v>
      </c>
      <c r="E122" s="31" t="str">
        <f>'01. PRZEDMIAR ROBÓT'!D197</f>
        <v>m</v>
      </c>
      <c r="F122" s="31">
        <f>'01. PRZEDMIAR ROBÓT'!F197</f>
        <v>23.3</v>
      </c>
      <c r="G122" s="143"/>
      <c r="H122" s="144">
        <f>F122*G122</f>
        <v>0</v>
      </c>
    </row>
    <row r="123" spans="1:8" s="11" customFormat="1" ht="13.5" customHeight="1">
      <c r="A123" s="21"/>
      <c r="B123" s="27" t="s">
        <v>270</v>
      </c>
      <c r="C123" s="23" t="s">
        <v>271</v>
      </c>
      <c r="D123" s="24"/>
      <c r="E123" s="24"/>
      <c r="F123" s="24"/>
      <c r="G123" s="145"/>
      <c r="H123" s="140">
        <f>H124</f>
        <v>0</v>
      </c>
    </row>
    <row r="124" spans="1:8" s="11" customFormat="1" ht="13.5" customHeight="1">
      <c r="A124" s="21"/>
      <c r="B124" s="27" t="s">
        <v>272</v>
      </c>
      <c r="C124" s="23" t="s">
        <v>273</v>
      </c>
      <c r="D124" s="24"/>
      <c r="E124" s="24"/>
      <c r="F124" s="24"/>
      <c r="G124" s="145"/>
      <c r="H124" s="141">
        <f>SUM(H125:H126)</f>
        <v>0</v>
      </c>
    </row>
    <row r="125" spans="1:8" s="12" customFormat="1" ht="12.75">
      <c r="A125" s="29">
        <f>MAX($A$7:A124)+1</f>
        <v>59</v>
      </c>
      <c r="B125" s="29" t="s">
        <v>274</v>
      </c>
      <c r="C125" s="30" t="s">
        <v>275</v>
      </c>
      <c r="D125" s="31">
        <f>A125</f>
        <v>59</v>
      </c>
      <c r="E125" s="31" t="str">
        <f>'01. PRZEDMIAR ROBÓT'!D200</f>
        <v>m²</v>
      </c>
      <c r="F125" s="31">
        <f>'01. PRZEDMIAR ROBÓT'!F200</f>
        <v>34.5</v>
      </c>
      <c r="G125" s="143"/>
      <c r="H125" s="144">
        <f>F125*G125</f>
        <v>0</v>
      </c>
    </row>
    <row r="126" spans="1:8" s="12" customFormat="1" ht="12.75">
      <c r="A126" s="29">
        <f>MAX($A$7:A125)+1</f>
        <v>60</v>
      </c>
      <c r="B126" s="29" t="s">
        <v>276</v>
      </c>
      <c r="C126" s="30" t="s">
        <v>277</v>
      </c>
      <c r="D126" s="31">
        <f>A126</f>
        <v>60</v>
      </c>
      <c r="E126" s="31" t="str">
        <f>'01. PRZEDMIAR ROBÓT'!D201</f>
        <v>m</v>
      </c>
      <c r="F126" s="31">
        <f>'01. PRZEDMIAR ROBÓT'!F201</f>
        <v>34.5</v>
      </c>
      <c r="G126" s="143"/>
      <c r="H126" s="144">
        <f>F126*G126</f>
        <v>0</v>
      </c>
    </row>
    <row r="127" spans="1:8" s="11" customFormat="1" ht="13.5" customHeight="1">
      <c r="A127" s="21"/>
      <c r="B127" s="27" t="s">
        <v>278</v>
      </c>
      <c r="C127" s="23" t="s">
        <v>279</v>
      </c>
      <c r="D127" s="24"/>
      <c r="E127" s="24"/>
      <c r="F127" s="24"/>
      <c r="G127" s="145"/>
      <c r="H127" s="140">
        <f>H128</f>
        <v>0</v>
      </c>
    </row>
    <row r="128" spans="1:8" s="11" customFormat="1" ht="15" customHeight="1">
      <c r="A128" s="27"/>
      <c r="B128" s="28" t="s">
        <v>280</v>
      </c>
      <c r="C128" s="69" t="s">
        <v>281</v>
      </c>
      <c r="D128" s="70"/>
      <c r="E128" s="70"/>
      <c r="F128" s="70"/>
      <c r="G128" s="152"/>
      <c r="H128" s="153">
        <f>SUM(H130)</f>
        <v>0</v>
      </c>
    </row>
    <row r="129" spans="1:8" s="11" customFormat="1" ht="15" customHeight="1">
      <c r="A129" s="27"/>
      <c r="B129" s="28"/>
      <c r="C129" s="72" t="s">
        <v>282</v>
      </c>
      <c r="D129" s="73"/>
      <c r="E129" s="73"/>
      <c r="F129" s="73"/>
      <c r="G129" s="154"/>
      <c r="H129" s="153"/>
    </row>
    <row r="130" spans="1:8" s="12" customFormat="1" ht="12.75">
      <c r="A130" s="29">
        <f>MAX($A$7:A128)+1</f>
        <v>61</v>
      </c>
      <c r="B130" s="29" t="s">
        <v>283</v>
      </c>
      <c r="C130" s="30" t="s">
        <v>284</v>
      </c>
      <c r="D130" s="31">
        <f>A130</f>
        <v>61</v>
      </c>
      <c r="E130" s="31" t="str">
        <f>'01. PRZEDMIAR ROBÓT'!D205</f>
        <v>m²</v>
      </c>
      <c r="F130" s="31">
        <f>'01. PRZEDMIAR ROBÓT'!F205</f>
        <v>124.2</v>
      </c>
      <c r="G130" s="143"/>
      <c r="H130" s="144">
        <f>F130*G130</f>
        <v>0</v>
      </c>
    </row>
    <row r="131" spans="1:7" s="12" customFormat="1" ht="12.75">
      <c r="A131" s="1"/>
      <c r="B131" s="2"/>
      <c r="C131" s="3"/>
      <c r="D131" s="3"/>
      <c r="E131" s="1"/>
      <c r="F131" s="5"/>
      <c r="G131" s="62"/>
    </row>
    <row r="132" spans="1:7" s="12" customFormat="1" ht="12.75">
      <c r="A132" s="1"/>
      <c r="B132" s="2"/>
      <c r="C132" s="3"/>
      <c r="D132" s="3"/>
      <c r="E132" s="1"/>
      <c r="F132" s="5"/>
      <c r="G132" s="62"/>
    </row>
    <row r="133" spans="1:7" s="12" customFormat="1" ht="15" customHeight="1">
      <c r="A133" s="1"/>
      <c r="B133" s="2"/>
      <c r="C133" s="3"/>
      <c r="D133" s="3"/>
      <c r="E133" s="1"/>
      <c r="F133" s="5"/>
      <c r="G133" s="62"/>
    </row>
    <row r="134" spans="1:8" s="12" customFormat="1" ht="15" customHeight="1">
      <c r="A134" s="1"/>
      <c r="B134" s="2"/>
      <c r="C134" s="3"/>
      <c r="D134" s="3"/>
      <c r="E134" s="157" t="s">
        <v>294</v>
      </c>
      <c r="F134" s="157"/>
      <c r="G134" s="157"/>
      <c r="H134" s="158">
        <f>H4+H12+H23+H42+H59+H63+H73+H89+H115</f>
        <v>0</v>
      </c>
    </row>
    <row r="135" spans="1:8" s="12" customFormat="1" ht="15" customHeight="1">
      <c r="A135" s="1"/>
      <c r="B135" s="2"/>
      <c r="C135" s="3"/>
      <c r="D135" s="3"/>
      <c r="E135" s="159">
        <v>0.23</v>
      </c>
      <c r="F135" s="159"/>
      <c r="G135" s="159"/>
      <c r="H135" s="158">
        <f>ROUNDUP(H134*E135,2)</f>
        <v>0</v>
      </c>
    </row>
    <row r="136" spans="1:8" s="12" customFormat="1" ht="15" customHeight="1">
      <c r="A136" s="1"/>
      <c r="B136" s="2"/>
      <c r="C136" s="3"/>
      <c r="D136" s="3"/>
      <c r="E136" s="157" t="s">
        <v>295</v>
      </c>
      <c r="F136" s="157"/>
      <c r="G136" s="157"/>
      <c r="H136" s="158">
        <f>H134+H135</f>
        <v>0</v>
      </c>
    </row>
    <row r="137" spans="1:7" s="12" customFormat="1" ht="15" customHeight="1">
      <c r="A137" s="1"/>
      <c r="B137" s="2"/>
      <c r="C137" s="3"/>
      <c r="D137" s="3"/>
      <c r="E137" s="1"/>
      <c r="F137" s="5"/>
      <c r="G137" s="124"/>
    </row>
    <row r="138" spans="1:7" s="12" customFormat="1" ht="15" customHeight="1">
      <c r="A138" s="1"/>
      <c r="B138" s="2"/>
      <c r="C138" s="3"/>
      <c r="D138" s="3"/>
      <c r="E138" s="1"/>
      <c r="F138" s="5"/>
      <c r="G138" s="124"/>
    </row>
    <row r="139" spans="1:7" s="55" customFormat="1" ht="15" customHeight="1">
      <c r="A139" s="1"/>
      <c r="B139" s="2"/>
      <c r="C139" s="3"/>
      <c r="D139" s="3"/>
      <c r="E139" s="1"/>
      <c r="F139" s="5"/>
      <c r="G139" s="124"/>
    </row>
    <row r="140" spans="1:7" s="55" customFormat="1" ht="15" customHeight="1">
      <c r="A140" s="1"/>
      <c r="B140" s="2"/>
      <c r="C140" s="3"/>
      <c r="D140" s="3"/>
      <c r="E140" s="1"/>
      <c r="F140" s="5"/>
      <c r="G140" s="124"/>
    </row>
    <row r="141" spans="1:7" s="55" customFormat="1" ht="15" customHeight="1">
      <c r="A141" s="1"/>
      <c r="B141" s="2"/>
      <c r="C141" s="3"/>
      <c r="D141" s="3"/>
      <c r="E141" s="1"/>
      <c r="F141" s="5"/>
      <c r="G141" s="62"/>
    </row>
    <row r="142" spans="1:7" s="55" customFormat="1" ht="15" customHeight="1">
      <c r="A142" s="1"/>
      <c r="B142" s="2"/>
      <c r="C142" s="3"/>
      <c r="D142" s="3"/>
      <c r="E142" s="1"/>
      <c r="F142" s="5"/>
      <c r="G142" s="62"/>
    </row>
    <row r="143" spans="1:7" s="55" customFormat="1" ht="15" customHeight="1">
      <c r="A143" s="1"/>
      <c r="B143" s="2"/>
      <c r="C143" s="3"/>
      <c r="D143" s="3"/>
      <c r="E143" s="1"/>
      <c r="F143" s="5"/>
      <c r="G143" s="62"/>
    </row>
    <row r="144" spans="1:7" s="55" customFormat="1" ht="15" customHeight="1">
      <c r="A144" s="1"/>
      <c r="B144" s="2"/>
      <c r="C144" s="3"/>
      <c r="D144" s="3"/>
      <c r="E144" s="1"/>
      <c r="F144" s="5"/>
      <c r="G144" s="62"/>
    </row>
    <row r="145" spans="1:7" s="55" customFormat="1" ht="15" customHeight="1">
      <c r="A145" s="1"/>
      <c r="B145" s="2"/>
      <c r="C145" s="3"/>
      <c r="D145" s="3"/>
      <c r="E145" s="1"/>
      <c r="F145" s="5"/>
      <c r="G145" s="62"/>
    </row>
    <row r="146" spans="1:7" s="55" customFormat="1" ht="15" customHeight="1">
      <c r="A146" s="1"/>
      <c r="B146" s="2"/>
      <c r="C146" s="3"/>
      <c r="D146" s="3"/>
      <c r="E146" s="1"/>
      <c r="F146" s="5"/>
      <c r="G146" s="62"/>
    </row>
    <row r="147" spans="7:9" ht="15" customHeight="1">
      <c r="G147" s="62"/>
      <c r="H147" s="55"/>
      <c r="I147" s="55"/>
    </row>
    <row r="148" spans="7:8" ht="15" customHeight="1">
      <c r="G148" s="124"/>
      <c r="H148" s="26"/>
    </row>
    <row r="149" ht="15" customHeight="1">
      <c r="G149" s="124"/>
    </row>
    <row r="150" spans="1:8" s="67" customFormat="1" ht="15" customHeight="1">
      <c r="A150" s="1"/>
      <c r="B150" s="2"/>
      <c r="C150" s="3"/>
      <c r="D150" s="3"/>
      <c r="E150" s="1"/>
      <c r="F150" s="5"/>
      <c r="G150" s="124"/>
      <c r="H150" s="160"/>
    </row>
    <row r="151" spans="1:8" s="67" customFormat="1" ht="15" customHeight="1">
      <c r="A151" s="1"/>
      <c r="B151" s="2"/>
      <c r="C151" s="3"/>
      <c r="D151" s="3"/>
      <c r="E151" s="1"/>
      <c r="F151" s="5"/>
      <c r="G151" s="62"/>
      <c r="H151" s="160"/>
    </row>
    <row r="152" spans="1:8" s="67" customFormat="1" ht="15" customHeight="1">
      <c r="A152" s="1"/>
      <c r="B152" s="2"/>
      <c r="C152" s="3"/>
      <c r="D152" s="3"/>
      <c r="E152" s="1"/>
      <c r="F152" s="5"/>
      <c r="G152" s="124"/>
      <c r="H152" s="160"/>
    </row>
    <row r="153" spans="1:8" s="67" customFormat="1" ht="15" customHeight="1">
      <c r="A153" s="1"/>
      <c r="B153" s="2"/>
      <c r="C153" s="3"/>
      <c r="D153" s="3"/>
      <c r="E153" s="1"/>
      <c r="F153" s="5"/>
      <c r="G153" s="124"/>
      <c r="H153" s="160"/>
    </row>
    <row r="154" spans="1:8" s="67" customFormat="1" ht="15" customHeight="1">
      <c r="A154" s="1"/>
      <c r="B154" s="2"/>
      <c r="C154" s="3"/>
      <c r="D154" s="3"/>
      <c r="E154" s="1"/>
      <c r="F154" s="5"/>
      <c r="G154" s="124"/>
      <c r="H154" s="160"/>
    </row>
    <row r="155" spans="1:8" s="67" customFormat="1" ht="15" customHeight="1">
      <c r="A155" s="1"/>
      <c r="B155" s="2"/>
      <c r="C155" s="3"/>
      <c r="D155" s="3"/>
      <c r="E155" s="1"/>
      <c r="F155" s="5"/>
      <c r="G155" s="124"/>
      <c r="H155" s="160"/>
    </row>
    <row r="156" ht="15" customHeight="1">
      <c r="G156" s="124"/>
    </row>
    <row r="157" ht="15" customHeight="1">
      <c r="G157" s="124"/>
    </row>
    <row r="158" ht="15" customHeight="1">
      <c r="G158" s="78"/>
    </row>
    <row r="159" ht="15" customHeight="1">
      <c r="G159" s="78"/>
    </row>
    <row r="160" ht="15" customHeight="1">
      <c r="G160" s="62"/>
    </row>
    <row r="161" ht="15" customHeight="1">
      <c r="G161" s="62"/>
    </row>
    <row r="162" ht="15" customHeight="1">
      <c r="G162" s="62"/>
    </row>
    <row r="163" spans="1:8" s="67" customFormat="1" ht="15" customHeight="1">
      <c r="A163" s="1"/>
      <c r="B163" s="2"/>
      <c r="C163" s="3"/>
      <c r="D163" s="3"/>
      <c r="E163" s="1"/>
      <c r="F163" s="5"/>
      <c r="G163" s="62"/>
      <c r="H163" s="160"/>
    </row>
    <row r="164" spans="1:8" s="67" customFormat="1" ht="15" customHeight="1">
      <c r="A164" s="1"/>
      <c r="B164" s="2"/>
      <c r="C164" s="3"/>
      <c r="D164" s="3"/>
      <c r="E164" s="1"/>
      <c r="F164" s="5"/>
      <c r="G164" s="62"/>
      <c r="H164" s="160"/>
    </row>
    <row r="165" spans="1:8" s="67" customFormat="1" ht="15" customHeight="1">
      <c r="A165" s="1"/>
      <c r="B165" s="2"/>
      <c r="C165" s="3"/>
      <c r="D165" s="3"/>
      <c r="E165" s="1"/>
      <c r="F165" s="5"/>
      <c r="G165" s="62"/>
      <c r="H165" s="160"/>
    </row>
    <row r="166" ht="15" customHeight="1">
      <c r="G166" s="124"/>
    </row>
    <row r="167" spans="1:8" s="67" customFormat="1" ht="15" customHeight="1">
      <c r="A167" s="1"/>
      <c r="B167" s="2"/>
      <c r="C167" s="3"/>
      <c r="D167" s="3"/>
      <c r="E167" s="1"/>
      <c r="F167" s="5"/>
      <c r="G167" s="124"/>
      <c r="H167" s="160"/>
    </row>
    <row r="168" spans="1:8" s="67" customFormat="1" ht="15" customHeight="1">
      <c r="A168" s="1"/>
      <c r="B168" s="2"/>
      <c r="C168" s="3"/>
      <c r="D168" s="3"/>
      <c r="E168" s="1"/>
      <c r="F168" s="5"/>
      <c r="G168" s="124"/>
      <c r="H168" s="160"/>
    </row>
    <row r="169" spans="1:8" s="67" customFormat="1" ht="15" customHeight="1">
      <c r="A169" s="1"/>
      <c r="B169" s="2"/>
      <c r="C169" s="3"/>
      <c r="D169" s="3"/>
      <c r="E169" s="1"/>
      <c r="F169" s="5"/>
      <c r="G169" s="78"/>
      <c r="H169" s="160"/>
    </row>
    <row r="170" spans="1:8" s="67" customFormat="1" ht="15" customHeight="1">
      <c r="A170" s="1"/>
      <c r="B170" s="2"/>
      <c r="C170" s="3"/>
      <c r="D170" s="3"/>
      <c r="E170" s="1"/>
      <c r="F170" s="5"/>
      <c r="G170" s="78"/>
      <c r="H170" s="160"/>
    </row>
    <row r="171" spans="1:8" s="67" customFormat="1" ht="15" customHeight="1">
      <c r="A171" s="1"/>
      <c r="B171" s="2"/>
      <c r="C171" s="3"/>
      <c r="D171" s="3"/>
      <c r="E171" s="1"/>
      <c r="F171" s="5"/>
      <c r="G171" s="78"/>
      <c r="H171" s="160"/>
    </row>
    <row r="172" spans="1:8" s="67" customFormat="1" ht="15" customHeight="1">
      <c r="A172" s="1"/>
      <c r="B172" s="2"/>
      <c r="C172" s="3"/>
      <c r="D172" s="3"/>
      <c r="E172" s="1"/>
      <c r="F172" s="5"/>
      <c r="G172" s="62"/>
      <c r="H172" s="160"/>
    </row>
    <row r="173" spans="1:8" s="43" customFormat="1" ht="15" customHeight="1">
      <c r="A173" s="1"/>
      <c r="B173" s="2"/>
      <c r="C173" s="3"/>
      <c r="D173" s="3"/>
      <c r="E173" s="1"/>
      <c r="F173" s="5"/>
      <c r="G173" s="62"/>
      <c r="H173" s="26"/>
    </row>
    <row r="174" spans="1:8" s="43" customFormat="1" ht="15" customHeight="1">
      <c r="A174" s="1"/>
      <c r="B174" s="2"/>
      <c r="C174" s="3"/>
      <c r="D174" s="3"/>
      <c r="E174" s="1"/>
      <c r="F174" s="5"/>
      <c r="G174" s="62"/>
      <c r="H174" s="161"/>
    </row>
    <row r="175" ht="15" customHeight="1">
      <c r="G175" s="62"/>
    </row>
    <row r="176" ht="15" customHeight="1">
      <c r="G176" s="62"/>
    </row>
    <row r="177" ht="15" customHeight="1">
      <c r="G177" s="62"/>
    </row>
    <row r="178" ht="15" customHeight="1">
      <c r="G178" s="78"/>
    </row>
    <row r="179" ht="15" customHeight="1">
      <c r="G179" s="78"/>
    </row>
    <row r="180" ht="15" customHeight="1">
      <c r="G180" s="62"/>
    </row>
    <row r="181" spans="1:8" s="67" customFormat="1" ht="15" customHeight="1">
      <c r="A181" s="1"/>
      <c r="B181" s="2"/>
      <c r="C181" s="3"/>
      <c r="D181" s="3"/>
      <c r="E181" s="1"/>
      <c r="F181" s="5"/>
      <c r="G181" s="62"/>
      <c r="H181" s="160"/>
    </row>
    <row r="182" spans="1:8" s="67" customFormat="1" ht="15" customHeight="1">
      <c r="A182" s="1"/>
      <c r="B182" s="2"/>
      <c r="C182" s="3"/>
      <c r="D182" s="3"/>
      <c r="E182" s="1"/>
      <c r="F182" s="5"/>
      <c r="G182" s="62"/>
      <c r="H182" s="160"/>
    </row>
    <row r="183" spans="1:8" s="67" customFormat="1" ht="15" customHeight="1">
      <c r="A183" s="1"/>
      <c r="B183" s="2"/>
      <c r="C183" s="3"/>
      <c r="D183" s="3"/>
      <c r="E183" s="1"/>
      <c r="F183" s="5"/>
      <c r="G183" s="62"/>
      <c r="H183" s="160"/>
    </row>
    <row r="184" spans="1:8" s="43" customFormat="1" ht="15" customHeight="1">
      <c r="A184" s="1"/>
      <c r="B184" s="2"/>
      <c r="C184" s="3"/>
      <c r="D184" s="3"/>
      <c r="E184" s="1"/>
      <c r="F184" s="5"/>
      <c r="G184" s="78"/>
      <c r="H184" s="161"/>
    </row>
    <row r="185" spans="1:8" s="43" customFormat="1" ht="15" customHeight="1">
      <c r="A185" s="1"/>
      <c r="B185" s="2"/>
      <c r="C185" s="3"/>
      <c r="D185" s="3"/>
      <c r="E185" s="1"/>
      <c r="F185" s="5"/>
      <c r="G185" s="78"/>
      <c r="H185" s="26"/>
    </row>
    <row r="186" spans="1:8" s="43" customFormat="1" ht="15" customHeight="1">
      <c r="A186" s="1"/>
      <c r="B186" s="2"/>
      <c r="C186" s="3"/>
      <c r="D186" s="3"/>
      <c r="E186" s="1"/>
      <c r="F186" s="5"/>
      <c r="G186" s="78"/>
      <c r="H186" s="161"/>
    </row>
    <row r="187" ht="15" customHeight="1">
      <c r="G187" s="37"/>
    </row>
    <row r="188" ht="15" customHeight="1">
      <c r="G188" s="37"/>
    </row>
    <row r="189" ht="15" customHeight="1">
      <c r="H189" s="1"/>
    </row>
    <row r="190" ht="15" customHeight="1">
      <c r="H190" s="1"/>
    </row>
    <row r="191" ht="15" customHeight="1">
      <c r="H191" s="1"/>
    </row>
    <row r="192" ht="15" customHeight="1">
      <c r="H192" s="1"/>
    </row>
    <row r="193" spans="1:6" s="43" customFormat="1" ht="15" customHeight="1">
      <c r="A193" s="1"/>
      <c r="B193" s="2"/>
      <c r="C193" s="3"/>
      <c r="D193" s="3"/>
      <c r="E193" s="1"/>
      <c r="F193" s="5"/>
    </row>
    <row r="194" spans="1:6" s="43" customFormat="1" ht="15" customHeight="1">
      <c r="A194" s="1"/>
      <c r="B194" s="2"/>
      <c r="C194" s="3"/>
      <c r="D194" s="3"/>
      <c r="E194" s="1"/>
      <c r="F194" s="5"/>
    </row>
    <row r="195" ht="15" customHeight="1">
      <c r="H195" s="1"/>
    </row>
    <row r="196" ht="15" customHeight="1">
      <c r="H196" s="1"/>
    </row>
    <row r="197" ht="15" customHeight="1">
      <c r="H197" s="1"/>
    </row>
    <row r="198" ht="15" customHeight="1">
      <c r="H198" s="1"/>
    </row>
    <row r="199" spans="1:6" s="43" customFormat="1" ht="15" customHeight="1">
      <c r="A199" s="1"/>
      <c r="B199" s="2"/>
      <c r="C199" s="3"/>
      <c r="D199" s="3"/>
      <c r="E199" s="1"/>
      <c r="F199" s="5"/>
    </row>
    <row r="200" spans="1:6" s="43" customFormat="1" ht="15" customHeight="1">
      <c r="A200" s="1"/>
      <c r="B200" s="2"/>
      <c r="C200" s="3"/>
      <c r="D200" s="3"/>
      <c r="E200" s="1"/>
      <c r="F200" s="5"/>
    </row>
    <row r="201" spans="1:6" s="43" customFormat="1" ht="15" customHeight="1">
      <c r="A201" s="1"/>
      <c r="B201" s="2"/>
      <c r="C201" s="3"/>
      <c r="D201" s="3"/>
      <c r="E201" s="1"/>
      <c r="F201" s="5"/>
    </row>
    <row r="202" ht="15" customHeight="1">
      <c r="H202" s="1"/>
    </row>
    <row r="203" ht="15" customHeight="1">
      <c r="H203" s="1"/>
    </row>
    <row r="204" ht="15" customHeight="1">
      <c r="H204" s="1"/>
    </row>
    <row r="205" ht="15" customHeight="1">
      <c r="H205" s="1"/>
    </row>
    <row r="206" spans="1:6" s="43" customFormat="1" ht="15" customHeight="1">
      <c r="A206" s="1"/>
      <c r="B206" s="2"/>
      <c r="C206" s="3"/>
      <c r="D206" s="3"/>
      <c r="E206" s="1"/>
      <c r="F206" s="5"/>
    </row>
    <row r="207" spans="1:6" s="43" customFormat="1" ht="15" customHeight="1">
      <c r="A207" s="1"/>
      <c r="B207" s="2"/>
      <c r="C207" s="3"/>
      <c r="D207" s="3"/>
      <c r="E207" s="1"/>
      <c r="F207" s="5"/>
    </row>
    <row r="208" spans="1:6" s="43" customFormat="1" ht="15" customHeight="1">
      <c r="A208" s="1"/>
      <c r="B208" s="2"/>
      <c r="C208" s="3"/>
      <c r="D208" s="3"/>
      <c r="E208" s="1"/>
      <c r="F208" s="5"/>
    </row>
    <row r="209" ht="15" customHeight="1">
      <c r="H209" s="1"/>
    </row>
    <row r="210" ht="15" customHeight="1">
      <c r="H210" s="1"/>
    </row>
    <row r="211" ht="15" customHeight="1">
      <c r="H211" s="1"/>
    </row>
    <row r="212" ht="15" customHeight="1">
      <c r="H212" s="1"/>
    </row>
    <row r="213" spans="1:6" s="43" customFormat="1" ht="15" customHeight="1">
      <c r="A213" s="1"/>
      <c r="B213" s="2"/>
      <c r="C213" s="3"/>
      <c r="D213" s="3"/>
      <c r="E213" s="1"/>
      <c r="F213" s="5"/>
    </row>
    <row r="214" spans="1:6" s="43" customFormat="1" ht="15" customHeight="1">
      <c r="A214" s="1"/>
      <c r="B214" s="2"/>
      <c r="C214" s="3"/>
      <c r="D214" s="3"/>
      <c r="E214" s="1"/>
      <c r="F214" s="5"/>
    </row>
    <row r="215" spans="1:6" s="43" customFormat="1" ht="15" customHeight="1">
      <c r="A215" s="1"/>
      <c r="B215" s="2"/>
      <c r="C215" s="3"/>
      <c r="D215" s="3"/>
      <c r="E215" s="1"/>
      <c r="F215" s="5"/>
    </row>
    <row r="216" ht="15" customHeight="1">
      <c r="H216" s="1"/>
    </row>
    <row r="217" ht="15" customHeight="1">
      <c r="G217" s="78"/>
    </row>
    <row r="218" spans="1:8" s="43" customFormat="1" ht="15" customHeight="1">
      <c r="A218" s="1"/>
      <c r="B218" s="2"/>
      <c r="C218" s="3"/>
      <c r="D218" s="3"/>
      <c r="E218" s="1"/>
      <c r="F218" s="5"/>
      <c r="G218" s="124"/>
      <c r="H218" s="161"/>
    </row>
    <row r="219" ht="15" customHeight="1">
      <c r="G219" s="124"/>
    </row>
    <row r="220" ht="15" customHeight="1">
      <c r="G220" s="124"/>
    </row>
    <row r="221" spans="1:8" s="43" customFormat="1" ht="15" customHeight="1">
      <c r="A221" s="1"/>
      <c r="B221" s="2"/>
      <c r="C221" s="3"/>
      <c r="D221" s="3"/>
      <c r="E221" s="1"/>
      <c r="F221" s="5"/>
      <c r="G221" s="124"/>
      <c r="H221" s="161"/>
    </row>
    <row r="222" ht="15" customHeight="1">
      <c r="G222" s="124"/>
    </row>
    <row r="223" spans="1:8" s="43" customFormat="1" ht="15" customHeight="1">
      <c r="A223" s="1"/>
      <c r="B223" s="2"/>
      <c r="C223" s="3"/>
      <c r="D223" s="3"/>
      <c r="E223" s="1"/>
      <c r="F223" s="5"/>
      <c r="G223" s="124"/>
      <c r="H223" s="26"/>
    </row>
    <row r="224" spans="1:8" s="43" customFormat="1" ht="15" customHeight="1">
      <c r="A224" s="1"/>
      <c r="B224" s="2"/>
      <c r="C224" s="3"/>
      <c r="D224" s="3"/>
      <c r="E224" s="1"/>
      <c r="F224" s="5"/>
      <c r="G224" s="124"/>
      <c r="H224" s="161"/>
    </row>
    <row r="225" ht="15" customHeight="1">
      <c r="G225" s="124"/>
    </row>
    <row r="226" ht="15" customHeight="1">
      <c r="G226" s="124"/>
    </row>
    <row r="227" spans="1:8" s="43" customFormat="1" ht="15" customHeight="1">
      <c r="A227" s="1"/>
      <c r="B227" s="2"/>
      <c r="C227" s="3"/>
      <c r="D227" s="3"/>
      <c r="E227" s="1"/>
      <c r="F227" s="5"/>
      <c r="G227" s="124"/>
      <c r="H227" s="161"/>
    </row>
    <row r="228" ht="15" customHeight="1">
      <c r="G228" s="78"/>
    </row>
    <row r="229" ht="15" customHeight="1">
      <c r="G229" s="78"/>
    </row>
    <row r="230" spans="1:8" s="43" customFormat="1" ht="15" customHeight="1">
      <c r="A230" s="1"/>
      <c r="B230" s="2"/>
      <c r="C230" s="3"/>
      <c r="D230" s="3"/>
      <c r="E230" s="1"/>
      <c r="F230" s="5"/>
      <c r="G230" s="62"/>
      <c r="H230" s="161"/>
    </row>
    <row r="231" spans="1:8" s="43" customFormat="1" ht="15" customHeight="1">
      <c r="A231" s="1"/>
      <c r="B231" s="2"/>
      <c r="C231" s="3"/>
      <c r="D231" s="3"/>
      <c r="E231" s="1"/>
      <c r="F231" s="5"/>
      <c r="G231" s="62"/>
      <c r="H231" s="26"/>
    </row>
    <row r="232" spans="1:8" s="43" customFormat="1" ht="15" customHeight="1">
      <c r="A232" s="1"/>
      <c r="B232" s="2"/>
      <c r="C232" s="3"/>
      <c r="D232" s="3"/>
      <c r="E232" s="1"/>
      <c r="F232" s="5"/>
      <c r="G232" s="62"/>
      <c r="H232" s="161"/>
    </row>
    <row r="233" spans="1:8" s="67" customFormat="1" ht="15" customHeight="1">
      <c r="A233" s="1"/>
      <c r="B233" s="2"/>
      <c r="C233" s="3"/>
      <c r="D233" s="3"/>
      <c r="E233" s="1"/>
      <c r="F233" s="5"/>
      <c r="G233" s="78"/>
      <c r="H233" s="160"/>
    </row>
    <row r="234" spans="1:8" s="67" customFormat="1" ht="15" customHeight="1">
      <c r="A234" s="1"/>
      <c r="B234" s="2"/>
      <c r="C234" s="3"/>
      <c r="D234" s="3"/>
      <c r="E234" s="1"/>
      <c r="F234" s="5"/>
      <c r="G234" s="78"/>
      <c r="H234" s="160"/>
    </row>
    <row r="235" spans="1:8" s="67" customFormat="1" ht="15" customHeight="1">
      <c r="A235" s="1"/>
      <c r="B235" s="2"/>
      <c r="C235" s="3"/>
      <c r="D235" s="3"/>
      <c r="E235" s="1"/>
      <c r="F235" s="5"/>
      <c r="G235" s="78"/>
      <c r="H235" s="160"/>
    </row>
    <row r="236" spans="1:8" s="67" customFormat="1" ht="15" customHeight="1">
      <c r="A236" s="1"/>
      <c r="B236" s="2"/>
      <c r="C236" s="3"/>
      <c r="D236" s="3"/>
      <c r="E236" s="1"/>
      <c r="F236" s="5"/>
      <c r="G236" s="91"/>
      <c r="H236" s="160"/>
    </row>
    <row r="237" spans="1:8" s="67" customFormat="1" ht="15" customHeight="1">
      <c r="A237" s="1"/>
      <c r="B237" s="2"/>
      <c r="C237" s="3"/>
      <c r="D237" s="3"/>
      <c r="E237" s="1"/>
      <c r="F237" s="5"/>
      <c r="G237" s="62"/>
      <c r="H237" s="160"/>
    </row>
    <row r="238" spans="1:8" s="67" customFormat="1" ht="15" customHeight="1">
      <c r="A238" s="1"/>
      <c r="B238" s="2"/>
      <c r="C238" s="3"/>
      <c r="D238" s="3"/>
      <c r="E238" s="1"/>
      <c r="F238" s="5"/>
      <c r="G238" s="78"/>
      <c r="H238" s="160"/>
    </row>
    <row r="239" spans="1:8" s="67" customFormat="1" ht="15" customHeight="1">
      <c r="A239" s="1"/>
      <c r="B239" s="2"/>
      <c r="C239" s="3"/>
      <c r="D239" s="3"/>
      <c r="E239" s="1"/>
      <c r="F239" s="5"/>
      <c r="G239" s="78"/>
      <c r="H239" s="160"/>
    </row>
    <row r="240" spans="1:8" s="67" customFormat="1" ht="15" customHeight="1">
      <c r="A240" s="1"/>
      <c r="B240" s="2"/>
      <c r="C240" s="3"/>
      <c r="D240" s="3"/>
      <c r="E240" s="1"/>
      <c r="F240" s="5"/>
      <c r="G240" s="62"/>
      <c r="H240" s="160"/>
    </row>
    <row r="241" spans="1:8" s="67" customFormat="1" ht="15" customHeight="1">
      <c r="A241" s="1"/>
      <c r="B241" s="2"/>
      <c r="C241" s="3"/>
      <c r="D241" s="3"/>
      <c r="E241" s="1"/>
      <c r="F241" s="5"/>
      <c r="G241" s="62"/>
      <c r="H241" s="160"/>
    </row>
    <row r="242" spans="1:8" s="67" customFormat="1" ht="15" customHeight="1">
      <c r="A242" s="1"/>
      <c r="B242" s="2"/>
      <c r="C242" s="3"/>
      <c r="D242" s="3"/>
      <c r="E242" s="1"/>
      <c r="F242" s="5"/>
      <c r="G242" s="62"/>
      <c r="H242" s="160"/>
    </row>
    <row r="243" spans="1:8" s="43" customFormat="1" ht="15" customHeight="1">
      <c r="A243" s="1"/>
      <c r="B243" s="2"/>
      <c r="C243" s="3"/>
      <c r="D243" s="3"/>
      <c r="E243" s="1"/>
      <c r="F243" s="5"/>
      <c r="G243" s="62"/>
      <c r="H243" s="26"/>
    </row>
    <row r="244" spans="1:8" s="43" customFormat="1" ht="15" customHeight="1">
      <c r="A244" s="1"/>
      <c r="B244" s="2"/>
      <c r="C244" s="3"/>
      <c r="D244" s="3"/>
      <c r="E244" s="1"/>
      <c r="F244" s="5"/>
      <c r="G244" s="62"/>
      <c r="H244" s="161"/>
    </row>
    <row r="245" ht="15" customHeight="1">
      <c r="G245" s="62"/>
    </row>
    <row r="246" ht="15" customHeight="1">
      <c r="G246" s="62"/>
    </row>
    <row r="247" ht="15" customHeight="1">
      <c r="G247" s="62"/>
    </row>
    <row r="248" spans="1:8" s="43" customFormat="1" ht="15" customHeight="1">
      <c r="A248" s="1"/>
      <c r="B248" s="2"/>
      <c r="C248" s="3"/>
      <c r="D248" s="3"/>
      <c r="E248" s="1"/>
      <c r="F248" s="5"/>
      <c r="G248" s="62"/>
      <c r="H248" s="161"/>
    </row>
    <row r="249" spans="1:8" s="43" customFormat="1" ht="15" customHeight="1">
      <c r="A249" s="1"/>
      <c r="B249" s="2"/>
      <c r="C249" s="3"/>
      <c r="D249" s="3"/>
      <c r="E249" s="1"/>
      <c r="F249" s="5"/>
      <c r="G249" s="62"/>
      <c r="H249" s="26"/>
    </row>
    <row r="250" spans="1:8" s="43" customFormat="1" ht="15" customHeight="1">
      <c r="A250" s="1"/>
      <c r="B250" s="2"/>
      <c r="C250" s="3"/>
      <c r="D250" s="3"/>
      <c r="E250" s="1"/>
      <c r="F250" s="5"/>
      <c r="G250" s="62"/>
      <c r="H250" s="161"/>
    </row>
    <row r="251" spans="7:8" ht="15" customHeight="1">
      <c r="G251" s="62"/>
      <c r="H251" s="92"/>
    </row>
    <row r="252" ht="15" customHeight="1">
      <c r="G252" s="62"/>
    </row>
    <row r="253" spans="1:8" s="43" customFormat="1" ht="15" customHeight="1">
      <c r="A253" s="1"/>
      <c r="B253" s="2"/>
      <c r="C253" s="3"/>
      <c r="D253" s="3"/>
      <c r="E253" s="1"/>
      <c r="F253" s="5"/>
      <c r="G253" s="62"/>
      <c r="H253" s="26"/>
    </row>
    <row r="254" spans="1:8" s="43" customFormat="1" ht="15" customHeight="1">
      <c r="A254" s="1"/>
      <c r="B254" s="2"/>
      <c r="C254" s="3"/>
      <c r="D254" s="3"/>
      <c r="E254" s="1"/>
      <c r="F254" s="5"/>
      <c r="G254" s="62"/>
      <c r="H254" s="161"/>
    </row>
    <row r="255" spans="7:9" ht="15" customHeight="1">
      <c r="G255" s="78"/>
      <c r="H255" s="162"/>
      <c r="I255" s="130"/>
    </row>
    <row r="256" spans="7:9" ht="15" customHeight="1">
      <c r="G256" s="78"/>
      <c r="I256" s="130"/>
    </row>
    <row r="257" ht="15" customHeight="1">
      <c r="G257" s="62"/>
    </row>
    <row r="258" ht="15" customHeight="1">
      <c r="G258" s="62"/>
    </row>
    <row r="259" ht="15" customHeight="1">
      <c r="G259" s="62"/>
    </row>
    <row r="260" ht="15" customHeight="1">
      <c r="G260" s="78"/>
    </row>
    <row r="261" ht="15" customHeight="1">
      <c r="G261" s="78"/>
    </row>
    <row r="262" ht="15" customHeight="1">
      <c r="G262" s="62"/>
    </row>
    <row r="263" ht="15" customHeight="1">
      <c r="G263" s="62"/>
    </row>
    <row r="264" ht="15" customHeight="1">
      <c r="G264" s="62"/>
    </row>
    <row r="265" spans="7:11" ht="15" customHeight="1">
      <c r="G265" s="78"/>
      <c r="K265" s="98"/>
    </row>
    <row r="266" spans="7:11" ht="15" customHeight="1">
      <c r="G266" s="78"/>
      <c r="K266" s="98"/>
    </row>
    <row r="267" ht="15" customHeight="1">
      <c r="G267" s="78"/>
    </row>
    <row r="268" ht="15" customHeight="1">
      <c r="G268" s="62"/>
    </row>
    <row r="269" ht="15" customHeight="1">
      <c r="G269" s="62"/>
    </row>
    <row r="270" spans="1:8" s="43" customFormat="1" ht="15" customHeight="1">
      <c r="A270" s="1"/>
      <c r="B270" s="2"/>
      <c r="C270" s="3"/>
      <c r="D270" s="3"/>
      <c r="E270" s="1"/>
      <c r="F270" s="5"/>
      <c r="G270" s="62"/>
      <c r="H270" s="26"/>
    </row>
    <row r="271" spans="1:8" s="43" customFormat="1" ht="15" customHeight="1">
      <c r="A271" s="1"/>
      <c r="B271" s="2"/>
      <c r="C271" s="3"/>
      <c r="D271" s="3"/>
      <c r="E271" s="1"/>
      <c r="F271" s="5"/>
      <c r="G271" s="78"/>
      <c r="H271" s="161"/>
    </row>
    <row r="272" ht="15" customHeight="1">
      <c r="G272" s="78"/>
    </row>
    <row r="273" ht="15" customHeight="1">
      <c r="G273" s="124"/>
    </row>
    <row r="274" ht="15" customHeight="1">
      <c r="G274" s="131"/>
    </row>
    <row r="275" spans="1:8" s="43" customFormat="1" ht="15" customHeight="1">
      <c r="A275" s="1"/>
      <c r="B275" s="2"/>
      <c r="C275" s="3"/>
      <c r="D275" s="3"/>
      <c r="E275" s="1"/>
      <c r="F275" s="5"/>
      <c r="G275" s="131"/>
      <c r="H275" s="26"/>
    </row>
    <row r="276" spans="1:8" s="43" customFormat="1" ht="15" customHeight="1">
      <c r="A276" s="1"/>
      <c r="B276" s="2"/>
      <c r="C276" s="3"/>
      <c r="D276" s="3"/>
      <c r="E276" s="1"/>
      <c r="F276" s="5"/>
      <c r="G276" s="78"/>
      <c r="H276" s="161"/>
    </row>
    <row r="277" ht="15" customHeight="1">
      <c r="G277" s="124"/>
    </row>
    <row r="278" ht="15" customHeight="1">
      <c r="G278" s="124"/>
    </row>
    <row r="279" ht="15" customHeight="1">
      <c r="G279" s="124"/>
    </row>
    <row r="280" spans="1:8" s="43" customFormat="1" ht="15" customHeight="1">
      <c r="A280" s="1"/>
      <c r="B280" s="2"/>
      <c r="C280" s="3"/>
      <c r="D280" s="3"/>
      <c r="E280" s="1"/>
      <c r="F280" s="5"/>
      <c r="G280" s="78"/>
      <c r="H280" s="161"/>
    </row>
    <row r="281" spans="1:8" s="43" customFormat="1" ht="15" customHeight="1">
      <c r="A281" s="1"/>
      <c r="B281" s="2"/>
      <c r="C281" s="3"/>
      <c r="D281" s="3"/>
      <c r="E281" s="1"/>
      <c r="F281" s="5"/>
      <c r="G281" s="78"/>
      <c r="H281" s="26"/>
    </row>
    <row r="282" spans="1:8" s="43" customFormat="1" ht="15" customHeight="1">
      <c r="A282" s="1"/>
      <c r="B282" s="2"/>
      <c r="C282" s="3"/>
      <c r="D282" s="3"/>
      <c r="E282" s="1"/>
      <c r="F282" s="5"/>
      <c r="G282" s="62"/>
      <c r="H282" s="161"/>
    </row>
    <row r="283" ht="15" customHeight="1">
      <c r="G283" s="62"/>
    </row>
    <row r="284" ht="15" customHeight="1">
      <c r="G284" s="78"/>
    </row>
    <row r="285" ht="15" customHeight="1">
      <c r="G285" s="78"/>
    </row>
    <row r="286" spans="1:8" s="43" customFormat="1" ht="15" customHeight="1">
      <c r="A286" s="1"/>
      <c r="B286" s="2"/>
      <c r="C286" s="3"/>
      <c r="D286" s="3"/>
      <c r="E286" s="1"/>
      <c r="F286" s="5"/>
      <c r="G286" s="62"/>
      <c r="H286" s="26"/>
    </row>
    <row r="287" spans="1:8" s="43" customFormat="1" ht="15" customHeight="1">
      <c r="A287" s="1"/>
      <c r="B287" s="2"/>
      <c r="C287" s="3"/>
      <c r="D287" s="3"/>
      <c r="E287" s="1"/>
      <c r="F287" s="5"/>
      <c r="G287" s="62"/>
      <c r="H287" s="161"/>
    </row>
    <row r="288" spans="1:8" s="67" customFormat="1" ht="15" customHeight="1">
      <c r="A288" s="1"/>
      <c r="B288" s="2"/>
      <c r="C288" s="3"/>
      <c r="D288" s="3"/>
      <c r="E288" s="1"/>
      <c r="F288" s="5"/>
      <c r="G288" s="62"/>
      <c r="H288" s="160"/>
    </row>
    <row r="289" spans="1:8" s="132" customFormat="1" ht="15" customHeight="1">
      <c r="A289" s="1"/>
      <c r="B289" s="2"/>
      <c r="C289" s="3"/>
      <c r="D289" s="3"/>
      <c r="E289" s="1"/>
      <c r="F289" s="5"/>
      <c r="G289" s="62"/>
      <c r="H289" s="163"/>
    </row>
    <row r="290" spans="1:8" s="132" customFormat="1" ht="15" customHeight="1">
      <c r="A290" s="1"/>
      <c r="B290" s="2"/>
      <c r="C290" s="3"/>
      <c r="D290" s="3"/>
      <c r="E290" s="1"/>
      <c r="F290" s="5"/>
      <c r="G290" s="62"/>
      <c r="H290" s="163"/>
    </row>
    <row r="291" spans="1:8" s="43" customFormat="1" ht="15" customHeight="1">
      <c r="A291" s="1"/>
      <c r="B291" s="2"/>
      <c r="C291" s="3"/>
      <c r="D291" s="3"/>
      <c r="E291" s="1"/>
      <c r="F291" s="5"/>
      <c r="G291" s="62"/>
      <c r="H291" s="161"/>
    </row>
    <row r="292" spans="1:8" s="67" customFormat="1" ht="15" customHeight="1">
      <c r="A292" s="1"/>
      <c r="B292" s="2"/>
      <c r="C292" s="3"/>
      <c r="D292" s="3"/>
      <c r="E292" s="1"/>
      <c r="F292" s="5"/>
      <c r="G292" s="78"/>
      <c r="H292" s="160"/>
    </row>
    <row r="293" spans="1:8" s="67" customFormat="1" ht="15" customHeight="1">
      <c r="A293" s="1"/>
      <c r="B293" s="2"/>
      <c r="C293" s="3"/>
      <c r="D293" s="3"/>
      <c r="E293" s="1"/>
      <c r="F293" s="5"/>
      <c r="G293" s="78"/>
      <c r="H293" s="160"/>
    </row>
    <row r="294" spans="1:8" s="67" customFormat="1" ht="15" customHeight="1">
      <c r="A294" s="1"/>
      <c r="B294" s="2"/>
      <c r="C294" s="3"/>
      <c r="D294" s="3"/>
      <c r="E294" s="1"/>
      <c r="F294" s="5"/>
      <c r="G294" s="124"/>
      <c r="H294" s="160"/>
    </row>
    <row r="295" spans="1:8" s="43" customFormat="1" ht="15" customHeight="1">
      <c r="A295" s="1"/>
      <c r="B295" s="2"/>
      <c r="C295" s="3"/>
      <c r="D295" s="3"/>
      <c r="E295" s="1"/>
      <c r="F295" s="5"/>
      <c r="G295" s="124"/>
      <c r="H295" s="26"/>
    </row>
    <row r="296" spans="1:8" s="43" customFormat="1" ht="15" customHeight="1">
      <c r="A296" s="1"/>
      <c r="B296" s="2"/>
      <c r="C296" s="3"/>
      <c r="D296" s="3"/>
      <c r="E296" s="1"/>
      <c r="F296" s="5"/>
      <c r="G296" s="124"/>
      <c r="H296" s="161"/>
    </row>
    <row r="297" ht="15" customHeight="1">
      <c r="G297" s="62"/>
    </row>
    <row r="298" ht="15" customHeight="1">
      <c r="G298" s="62"/>
    </row>
    <row r="299" spans="1:8" s="43" customFormat="1" ht="15" customHeight="1">
      <c r="A299" s="1"/>
      <c r="B299" s="2"/>
      <c r="C299" s="3"/>
      <c r="D299" s="3"/>
      <c r="E299" s="1"/>
      <c r="F299" s="5"/>
      <c r="G299" s="62"/>
      <c r="H299" s="26"/>
    </row>
    <row r="300" spans="1:8" s="43" customFormat="1" ht="15" customHeight="1">
      <c r="A300" s="1"/>
      <c r="B300" s="2"/>
      <c r="C300" s="3"/>
      <c r="D300" s="3"/>
      <c r="E300" s="1"/>
      <c r="F300" s="5"/>
      <c r="G300" s="62"/>
      <c r="H300" s="161"/>
    </row>
    <row r="301" ht="15" customHeight="1">
      <c r="G301" s="62"/>
    </row>
    <row r="302" ht="15" customHeight="1">
      <c r="G302" s="62"/>
    </row>
    <row r="303" ht="15" customHeight="1">
      <c r="G303" s="62"/>
    </row>
    <row r="304" ht="15" customHeight="1">
      <c r="G304" s="62"/>
    </row>
    <row r="305" spans="2:3" s="1" customFormat="1" ht="15" customHeight="1">
      <c r="B305" s="2"/>
      <c r="C305" s="3"/>
    </row>
    <row r="306" spans="2:3" s="1" customFormat="1" ht="15" customHeight="1">
      <c r="B306" s="2"/>
      <c r="C306" s="3"/>
    </row>
    <row r="307" spans="1:11" s="43" customFormat="1" ht="15" customHeight="1">
      <c r="A307" s="1"/>
      <c r="B307" s="2"/>
      <c r="C307" s="3"/>
      <c r="D307" s="1"/>
      <c r="E307" s="1"/>
      <c r="F307" s="1"/>
      <c r="G307" s="1"/>
      <c r="H307" s="1"/>
      <c r="I307" s="1"/>
      <c r="J307" s="1"/>
      <c r="K307" s="1"/>
    </row>
    <row r="308" spans="1:11" s="43" customFormat="1" ht="15" customHeight="1">
      <c r="A308" s="1"/>
      <c r="B308" s="2"/>
      <c r="C308" s="3"/>
      <c r="D308" s="1"/>
      <c r="E308" s="1"/>
      <c r="F308" s="1"/>
      <c r="G308" s="1"/>
      <c r="H308" s="1"/>
      <c r="I308" s="1"/>
      <c r="J308" s="1"/>
      <c r="K308" s="1"/>
    </row>
    <row r="309" spans="1:11" s="67" customFormat="1" ht="15" customHeight="1">
      <c r="A309" s="1"/>
      <c r="B309" s="2"/>
      <c r="C309" s="3"/>
      <c r="D309" s="1"/>
      <c r="E309" s="1"/>
      <c r="F309" s="1"/>
      <c r="G309" s="1"/>
      <c r="H309" s="1"/>
      <c r="I309" s="1"/>
      <c r="J309" s="1"/>
      <c r="K309" s="1"/>
    </row>
    <row r="310" spans="1:11" s="67" customFormat="1" ht="15" customHeight="1">
      <c r="A310" s="1"/>
      <c r="B310" s="2"/>
      <c r="C310" s="3"/>
      <c r="D310" s="1"/>
      <c r="E310" s="1"/>
      <c r="F310" s="1"/>
      <c r="G310" s="1"/>
      <c r="H310" s="1"/>
      <c r="I310" s="1"/>
      <c r="J310" s="1"/>
      <c r="K310" s="1"/>
    </row>
    <row r="311" spans="1:11" s="67" customFormat="1" ht="15" customHeight="1">
      <c r="A311" s="1"/>
      <c r="B311" s="2"/>
      <c r="C311" s="3"/>
      <c r="D311" s="1"/>
      <c r="E311" s="1"/>
      <c r="F311" s="1"/>
      <c r="G311" s="1"/>
      <c r="H311" s="1"/>
      <c r="I311" s="1"/>
      <c r="J311" s="1"/>
      <c r="K311" s="1"/>
    </row>
    <row r="312" spans="2:3" s="1" customFormat="1" ht="15" customHeight="1">
      <c r="B312" s="2"/>
      <c r="C312" s="3"/>
    </row>
    <row r="313" spans="2:3" s="1" customFormat="1" ht="15" customHeight="1">
      <c r="B313" s="2"/>
      <c r="C313" s="3"/>
    </row>
    <row r="314" spans="2:3" s="1" customFormat="1" ht="15" customHeight="1">
      <c r="B314" s="2"/>
      <c r="C314" s="3"/>
    </row>
    <row r="315" spans="2:3" s="1" customFormat="1" ht="15" customHeight="1">
      <c r="B315" s="2"/>
      <c r="C315" s="3"/>
    </row>
    <row r="316" spans="2:3" s="1" customFormat="1" ht="15" customHeight="1">
      <c r="B316" s="2"/>
      <c r="C316" s="3"/>
    </row>
    <row r="317" spans="2:3" s="1" customFormat="1" ht="15" customHeight="1">
      <c r="B317" s="2"/>
      <c r="C317" s="3"/>
    </row>
    <row r="318" spans="2:3" s="1" customFormat="1" ht="15" customHeight="1">
      <c r="B318" s="2"/>
      <c r="C318" s="3"/>
    </row>
    <row r="319" spans="2:3" s="1" customFormat="1" ht="15" customHeight="1">
      <c r="B319" s="2"/>
      <c r="C319" s="3"/>
    </row>
    <row r="320" spans="2:3" s="1" customFormat="1" ht="15" customHeight="1">
      <c r="B320" s="2"/>
      <c r="C320" s="3"/>
    </row>
    <row r="321" spans="2:3" s="1" customFormat="1" ht="15" customHeight="1">
      <c r="B321" s="2"/>
      <c r="C321" s="3"/>
    </row>
    <row r="322" spans="2:3" s="1" customFormat="1" ht="15" customHeight="1">
      <c r="B322" s="2"/>
      <c r="C322" s="3"/>
    </row>
    <row r="323" spans="2:3" s="1" customFormat="1" ht="15" customHeight="1">
      <c r="B323" s="2"/>
      <c r="C323" s="3"/>
    </row>
    <row r="324" spans="2:3" s="1" customFormat="1" ht="15" customHeight="1">
      <c r="B324" s="2"/>
      <c r="C324" s="3"/>
    </row>
    <row r="325" spans="7:8" ht="15" customHeight="1">
      <c r="G325" s="78"/>
      <c r="H325" s="136"/>
    </row>
    <row r="326" spans="7:8" ht="15" customHeight="1">
      <c r="G326" s="62"/>
      <c r="H326" s="136"/>
    </row>
    <row r="327" ht="15" customHeight="1">
      <c r="G327" s="62"/>
    </row>
    <row r="328" ht="15" customHeight="1">
      <c r="G328" s="78"/>
    </row>
    <row r="329" ht="15" customHeight="1">
      <c r="G329" s="78"/>
    </row>
    <row r="330" ht="15" customHeight="1">
      <c r="G330" s="124"/>
    </row>
    <row r="331" ht="15" customHeight="1">
      <c r="G331" s="124"/>
    </row>
    <row r="332" spans="1:8" s="43" customFormat="1" ht="15" customHeight="1">
      <c r="A332" s="1"/>
      <c r="B332" s="2"/>
      <c r="C332" s="3"/>
      <c r="D332" s="3"/>
      <c r="E332" s="1"/>
      <c r="F332" s="5"/>
      <c r="G332" s="124"/>
      <c r="H332" s="161"/>
    </row>
    <row r="333" spans="1:8" s="43" customFormat="1" ht="15" customHeight="1">
      <c r="A333" s="1"/>
      <c r="B333" s="2"/>
      <c r="C333" s="3"/>
      <c r="D333" s="3"/>
      <c r="E333" s="1"/>
      <c r="F333" s="5"/>
      <c r="G333" s="124"/>
      <c r="H333" s="26"/>
    </row>
    <row r="334" spans="1:8" s="43" customFormat="1" ht="15" customHeight="1">
      <c r="A334" s="1"/>
      <c r="B334" s="2"/>
      <c r="C334" s="3"/>
      <c r="D334" s="3"/>
      <c r="E334" s="1"/>
      <c r="F334" s="5"/>
      <c r="G334" s="124"/>
      <c r="H334" s="26"/>
    </row>
    <row r="335" spans="1:8" s="43" customFormat="1" ht="15" customHeight="1">
      <c r="A335" s="1"/>
      <c r="B335" s="2"/>
      <c r="C335" s="3"/>
      <c r="D335" s="3"/>
      <c r="E335" s="1"/>
      <c r="F335" s="5"/>
      <c r="G335" s="124"/>
      <c r="H335" s="26"/>
    </row>
    <row r="336" spans="1:8" s="43" customFormat="1" ht="15" customHeight="1">
      <c r="A336" s="1"/>
      <c r="B336" s="2"/>
      <c r="C336" s="3"/>
      <c r="D336" s="3"/>
      <c r="E336" s="1"/>
      <c r="F336" s="5"/>
      <c r="G336" s="78"/>
      <c r="H336" s="26"/>
    </row>
    <row r="337" spans="1:8" s="43" customFormat="1" ht="15" customHeight="1">
      <c r="A337" s="1"/>
      <c r="B337" s="2"/>
      <c r="C337" s="3"/>
      <c r="D337" s="3"/>
      <c r="E337" s="1"/>
      <c r="F337" s="5"/>
      <c r="G337" s="78"/>
      <c r="H337" s="26"/>
    </row>
    <row r="338" spans="1:8" s="43" customFormat="1" ht="15" customHeight="1">
      <c r="A338" s="1"/>
      <c r="B338" s="2"/>
      <c r="C338" s="3"/>
      <c r="D338" s="3"/>
      <c r="E338" s="1"/>
      <c r="F338" s="5"/>
      <c r="G338" s="78"/>
      <c r="H338" s="26"/>
    </row>
    <row r="339" spans="1:8" s="43" customFormat="1" ht="15" customHeight="1">
      <c r="A339" s="1"/>
      <c r="B339" s="2"/>
      <c r="C339" s="3"/>
      <c r="D339" s="3"/>
      <c r="E339" s="1"/>
      <c r="F339" s="5"/>
      <c r="G339" s="62"/>
      <c r="H339" s="26"/>
    </row>
    <row r="340" spans="1:8" s="43" customFormat="1" ht="15" customHeight="1">
      <c r="A340" s="1"/>
      <c r="B340" s="2"/>
      <c r="C340" s="3"/>
      <c r="D340" s="3"/>
      <c r="E340" s="1"/>
      <c r="F340" s="5"/>
      <c r="G340" s="62"/>
      <c r="H340" s="161"/>
    </row>
    <row r="341" ht="15" customHeight="1">
      <c r="G341" s="62"/>
    </row>
    <row r="342" ht="15" customHeight="1">
      <c r="G342" s="62"/>
    </row>
    <row r="343" spans="1:8" s="43" customFormat="1" ht="15" customHeight="1">
      <c r="A343" s="1"/>
      <c r="B343" s="2"/>
      <c r="C343" s="3"/>
      <c r="D343" s="3"/>
      <c r="E343" s="1"/>
      <c r="F343" s="5"/>
      <c r="G343" s="1"/>
      <c r="H343" s="26"/>
    </row>
    <row r="344" spans="1:8" s="43" customFormat="1" ht="15" customHeight="1">
      <c r="A344" s="1"/>
      <c r="B344" s="2"/>
      <c r="C344" s="3"/>
      <c r="D344" s="3"/>
      <c r="E344" s="1"/>
      <c r="F344" s="5"/>
      <c r="G344" s="1"/>
      <c r="H344" s="161"/>
    </row>
    <row r="345" spans="1:8" s="67" customFormat="1" ht="15" customHeight="1">
      <c r="A345" s="1"/>
      <c r="B345" s="2"/>
      <c r="C345" s="3"/>
      <c r="D345" s="3"/>
      <c r="E345" s="1"/>
      <c r="F345" s="5"/>
      <c r="G345" s="1"/>
      <c r="H345" s="160"/>
    </row>
    <row r="346" spans="1:8" s="67" customFormat="1" ht="15" customHeight="1">
      <c r="A346" s="1"/>
      <c r="B346" s="2"/>
      <c r="C346" s="3"/>
      <c r="D346" s="3"/>
      <c r="E346" s="1"/>
      <c r="F346" s="5"/>
      <c r="G346" s="1"/>
      <c r="H346" s="160"/>
    </row>
    <row r="347" spans="1:8" s="67" customFormat="1" ht="15" customHeight="1">
      <c r="A347" s="1"/>
      <c r="B347" s="2"/>
      <c r="C347" s="3"/>
      <c r="D347" s="3"/>
      <c r="E347" s="1"/>
      <c r="F347" s="5"/>
      <c r="G347" s="1"/>
      <c r="H347" s="160"/>
    </row>
    <row r="348" spans="1:8" s="67" customFormat="1" ht="15" customHeight="1">
      <c r="A348" s="1"/>
      <c r="B348" s="2"/>
      <c r="C348" s="3"/>
      <c r="D348" s="3"/>
      <c r="E348" s="1"/>
      <c r="F348" s="5"/>
      <c r="G348" s="1"/>
      <c r="H348" s="160"/>
    </row>
    <row r="349" spans="1:8" s="67" customFormat="1" ht="15" customHeight="1">
      <c r="A349" s="1"/>
      <c r="B349" s="2"/>
      <c r="C349" s="3"/>
      <c r="D349" s="3"/>
      <c r="E349" s="1"/>
      <c r="F349" s="5"/>
      <c r="G349" s="1"/>
      <c r="H349" s="160"/>
    </row>
    <row r="350" spans="1:8" s="67" customFormat="1" ht="15" customHeight="1">
      <c r="A350" s="1"/>
      <c r="B350" s="2"/>
      <c r="C350" s="3"/>
      <c r="D350" s="3"/>
      <c r="E350" s="1"/>
      <c r="F350" s="5"/>
      <c r="G350" s="1"/>
      <c r="H350" s="160"/>
    </row>
    <row r="351" spans="1:8" s="43" customFormat="1" ht="15" customHeight="1">
      <c r="A351" s="1"/>
      <c r="B351" s="2"/>
      <c r="C351" s="3"/>
      <c r="D351" s="3"/>
      <c r="E351" s="1"/>
      <c r="F351" s="5"/>
      <c r="G351" s="1"/>
      <c r="H351" s="161"/>
    </row>
    <row r="352" spans="1:8" s="43" customFormat="1" ht="15" customHeight="1">
      <c r="A352" s="1"/>
      <c r="B352" s="2"/>
      <c r="C352" s="3"/>
      <c r="D352" s="3"/>
      <c r="E352" s="1"/>
      <c r="F352" s="5"/>
      <c r="G352" s="1"/>
      <c r="H352" s="26"/>
    </row>
    <row r="353" spans="1:8" s="43" customFormat="1" ht="15" customHeight="1">
      <c r="A353" s="1"/>
      <c r="B353" s="2"/>
      <c r="C353" s="3"/>
      <c r="D353" s="3"/>
      <c r="E353" s="1"/>
      <c r="F353" s="5"/>
      <c r="G353" s="1"/>
      <c r="H353" s="161"/>
    </row>
    <row r="354" ht="15" customHeight="1">
      <c r="I354" s="137"/>
    </row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</sheetData>
  <sheetProtection selectLockedCells="1" selectUnlockedCells="1"/>
  <mergeCells count="23">
    <mergeCell ref="A1:A2"/>
    <mergeCell ref="B1:B2"/>
    <mergeCell ref="C1:C2"/>
    <mergeCell ref="D1:D2"/>
    <mergeCell ref="E1:F2"/>
    <mergeCell ref="A34:A35"/>
    <mergeCell ref="B34:B35"/>
    <mergeCell ref="H34:H35"/>
    <mergeCell ref="A38:A39"/>
    <mergeCell ref="B38:B39"/>
    <mergeCell ref="H38:H39"/>
    <mergeCell ref="A51:A52"/>
    <mergeCell ref="B51:B52"/>
    <mergeCell ref="H51:H52"/>
    <mergeCell ref="A55:A56"/>
    <mergeCell ref="B55:B56"/>
    <mergeCell ref="H55:H56"/>
    <mergeCell ref="A128:A129"/>
    <mergeCell ref="B128:B129"/>
    <mergeCell ref="H128:H129"/>
    <mergeCell ref="E134:G134"/>
    <mergeCell ref="E135:G135"/>
    <mergeCell ref="E136:G136"/>
  </mergeCells>
  <printOptions/>
  <pageMargins left="1.575" right="0.7875" top="1.18125" bottom="0.7875" header="0.5118055555555555" footer="0.5118055555555555"/>
  <pageSetup horizontalDpi="300" verticalDpi="300" orientation="portrait" paperSize="9" scale="60"/>
  <headerFooter alignWithMargins="0">
    <oddHeader>&amp;CKOSZTORYS OFERTOWY
OBIEKTY MOSTOWE
most JNI 31001107</oddHeader>
  </headerFooter>
  <rowBreaks count="2" manualBreakCount="2">
    <brk id="49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Durda</dc:creator>
  <cp:keywords/>
  <dc:description/>
  <cp:lastModifiedBy/>
  <cp:lastPrinted>2016-01-11T15:41:29Z</cp:lastPrinted>
  <dcterms:created xsi:type="dcterms:W3CDTF">2008-04-28T08:33:25Z</dcterms:created>
  <dcterms:modified xsi:type="dcterms:W3CDTF">2016-06-01T09:57:39Z</dcterms:modified>
  <cp:category/>
  <cp:version/>
  <cp:contentType/>
  <cp:contentStatus/>
  <cp:revision>4</cp:revision>
</cp:coreProperties>
</file>